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autoCompressPictures="0"/>
  <bookViews>
    <workbookView xWindow="560" yWindow="560" windowWidth="25040" windowHeight="15500" tabRatio="500"/>
  </bookViews>
  <sheets>
    <sheet name="Sheet1" sheetId="1" r:id="rId1"/>
    <sheet name="Sheet2" sheetId="2" r:id="rId2"/>
    <sheet name="Sheet3" sheetId="3" r:id="rId3"/>
    <sheet name="Sheet4" sheetId="4" r:id="rId4"/>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43" i="1" l="1"/>
  <c r="I9" i="1"/>
  <c r="C40" i="1"/>
  <c r="K34" i="1"/>
  <c r="H33" i="1"/>
  <c r="H34" i="1"/>
  <c r="E35" i="1"/>
  <c r="C35" i="1"/>
  <c r="G10" i="1"/>
  <c r="H10" i="1"/>
  <c r="J10" i="1"/>
  <c r="K41" i="1"/>
  <c r="K40" i="1"/>
  <c r="K39" i="1"/>
  <c r="K32" i="1"/>
  <c r="K31" i="1"/>
  <c r="K30" i="1"/>
  <c r="K29" i="1"/>
  <c r="K26" i="1"/>
  <c r="K25" i="1"/>
  <c r="K24" i="1"/>
  <c r="K19" i="1"/>
  <c r="K18" i="1"/>
  <c r="K16" i="1"/>
  <c r="K14" i="1"/>
  <c r="K13" i="1"/>
  <c r="K11" i="1"/>
  <c r="K9" i="1"/>
  <c r="I31" i="4"/>
  <c r="I39" i="4"/>
  <c r="I41" i="4"/>
  <c r="C31" i="4"/>
  <c r="D31" i="4"/>
  <c r="E31" i="4"/>
  <c r="G9" i="4"/>
  <c r="G10" i="4"/>
  <c r="G12" i="4"/>
  <c r="G13" i="4"/>
  <c r="G14" i="4"/>
  <c r="G15" i="4"/>
  <c r="G16" i="4"/>
  <c r="G17" i="4"/>
  <c r="G20" i="4"/>
  <c r="G21" i="4"/>
  <c r="G22" i="4"/>
  <c r="G23" i="4"/>
  <c r="G24" i="4"/>
  <c r="G26" i="4"/>
  <c r="G27" i="4"/>
  <c r="G28" i="4"/>
  <c r="G29" i="4"/>
  <c r="G31" i="4"/>
  <c r="H31" i="4"/>
  <c r="C39" i="4"/>
  <c r="E37" i="4"/>
  <c r="E39" i="4"/>
  <c r="G34" i="4"/>
  <c r="G35" i="4"/>
  <c r="G36" i="4"/>
  <c r="G37" i="4"/>
  <c r="G39" i="4"/>
  <c r="H39" i="4"/>
  <c r="H41" i="4"/>
  <c r="Q41" i="4"/>
  <c r="P41" i="4"/>
  <c r="J9" i="4"/>
  <c r="J10" i="4"/>
  <c r="J12" i="4"/>
  <c r="J13" i="4"/>
  <c r="J14" i="4"/>
  <c r="J15" i="4"/>
  <c r="J16" i="4"/>
  <c r="J17" i="4"/>
  <c r="J18" i="4"/>
  <c r="J20" i="4"/>
  <c r="J21" i="4"/>
  <c r="J22" i="4"/>
  <c r="J23" i="4"/>
  <c r="J24" i="4"/>
  <c r="J26" i="4"/>
  <c r="J27" i="4"/>
  <c r="J28" i="4"/>
  <c r="J29" i="4"/>
  <c r="J31" i="4"/>
  <c r="J34" i="4"/>
  <c r="J35" i="4"/>
  <c r="J37" i="4"/>
  <c r="J39" i="4"/>
  <c r="J41" i="4"/>
  <c r="O41" i="4"/>
  <c r="M31" i="4"/>
  <c r="M39" i="4"/>
  <c r="M41" i="4"/>
  <c r="N41" i="4"/>
  <c r="L31" i="4"/>
  <c r="L39" i="4"/>
  <c r="L41" i="4"/>
  <c r="K31" i="4"/>
  <c r="K39" i="4"/>
  <c r="K41" i="4"/>
  <c r="G41" i="4"/>
  <c r="E41" i="4"/>
  <c r="D41" i="4"/>
  <c r="C41" i="4"/>
  <c r="Q39" i="4"/>
  <c r="P39" i="4"/>
  <c r="O39" i="4"/>
  <c r="N39" i="4"/>
  <c r="H37" i="4"/>
  <c r="Q37" i="4"/>
  <c r="P37" i="4"/>
  <c r="O37" i="4"/>
  <c r="N37" i="4"/>
  <c r="H36" i="4"/>
  <c r="Q36" i="4"/>
  <c r="P36" i="4"/>
  <c r="O36" i="4"/>
  <c r="N36" i="4"/>
  <c r="H35" i="4"/>
  <c r="Q35" i="4"/>
  <c r="P35" i="4"/>
  <c r="O35" i="4"/>
  <c r="N35" i="4"/>
  <c r="H34" i="4"/>
  <c r="Q34" i="4"/>
  <c r="P34" i="4"/>
  <c r="O34" i="4"/>
  <c r="N34" i="4"/>
  <c r="Q31" i="4"/>
  <c r="P31" i="4"/>
  <c r="O31" i="4"/>
  <c r="N31" i="4"/>
  <c r="H29" i="4"/>
  <c r="Q29" i="4"/>
  <c r="P29" i="4"/>
  <c r="O29" i="4"/>
  <c r="N29" i="4"/>
  <c r="H28" i="4"/>
  <c r="Q28" i="4"/>
  <c r="P28" i="4"/>
  <c r="O28" i="4"/>
  <c r="N28" i="4"/>
  <c r="H27" i="4"/>
  <c r="Q27" i="4"/>
  <c r="P27" i="4"/>
  <c r="O27" i="4"/>
  <c r="N27" i="4"/>
  <c r="H26" i="4"/>
  <c r="Q26" i="4"/>
  <c r="P26" i="4"/>
  <c r="O26" i="4"/>
  <c r="N26" i="4"/>
  <c r="H24" i="4"/>
  <c r="Q24" i="4"/>
  <c r="P24" i="4"/>
  <c r="O24" i="4"/>
  <c r="N24" i="4"/>
  <c r="H23" i="4"/>
  <c r="Q23" i="4"/>
  <c r="P23" i="4"/>
  <c r="O23" i="4"/>
  <c r="N23" i="4"/>
  <c r="H22" i="4"/>
  <c r="Q22" i="4"/>
  <c r="P22" i="4"/>
  <c r="O22" i="4"/>
  <c r="N22" i="4"/>
  <c r="H21" i="4"/>
  <c r="Q21" i="4"/>
  <c r="P21" i="4"/>
  <c r="O21" i="4"/>
  <c r="N21" i="4"/>
  <c r="H20" i="4"/>
  <c r="Q20" i="4"/>
  <c r="P20" i="4"/>
  <c r="O20" i="4"/>
  <c r="N20" i="4"/>
  <c r="H18" i="4"/>
  <c r="Q18" i="4"/>
  <c r="P18" i="4"/>
  <c r="O18" i="4"/>
  <c r="N18" i="4"/>
  <c r="H17" i="4"/>
  <c r="Q17" i="4"/>
  <c r="P17" i="4"/>
  <c r="O17" i="4"/>
  <c r="N17" i="4"/>
  <c r="H16" i="4"/>
  <c r="Q16" i="4"/>
  <c r="P16" i="4"/>
  <c r="O16" i="4"/>
  <c r="N16" i="4"/>
  <c r="H15" i="4"/>
  <c r="Q15" i="4"/>
  <c r="P15" i="4"/>
  <c r="O15" i="4"/>
  <c r="N15" i="4"/>
  <c r="H14" i="4"/>
  <c r="Q14" i="4"/>
  <c r="P14" i="4"/>
  <c r="O14" i="4"/>
  <c r="N14" i="4"/>
  <c r="H13" i="4"/>
  <c r="Q13" i="4"/>
  <c r="P13" i="4"/>
  <c r="O13" i="4"/>
  <c r="N13" i="4"/>
  <c r="H12" i="4"/>
  <c r="Q12" i="4"/>
  <c r="P12" i="4"/>
  <c r="O12" i="4"/>
  <c r="N12" i="4"/>
  <c r="H10" i="4"/>
  <c r="Q10" i="4"/>
  <c r="P10" i="4"/>
  <c r="O10" i="4"/>
  <c r="N10" i="4"/>
  <c r="H9" i="4"/>
  <c r="Q9" i="4"/>
  <c r="P9" i="4"/>
  <c r="O9" i="4"/>
  <c r="N9" i="4"/>
  <c r="I9" i="3"/>
  <c r="I10" i="3"/>
  <c r="I12" i="3"/>
  <c r="I13" i="3"/>
  <c r="I14" i="3"/>
  <c r="I15" i="3"/>
  <c r="I19" i="3"/>
  <c r="I24" i="3"/>
  <c r="I25" i="3"/>
  <c r="I26" i="3"/>
  <c r="I27" i="3"/>
  <c r="I29" i="3"/>
  <c r="I33" i="3"/>
  <c r="I35" i="3"/>
  <c r="I37" i="3"/>
  <c r="I39" i="3"/>
  <c r="C29" i="3"/>
  <c r="D29" i="3"/>
  <c r="E29" i="3"/>
  <c r="G9" i="3"/>
  <c r="G10" i="3"/>
  <c r="G12" i="3"/>
  <c r="G13" i="3"/>
  <c r="G14" i="3"/>
  <c r="G15" i="3"/>
  <c r="G16" i="3"/>
  <c r="G18" i="3"/>
  <c r="G19" i="3"/>
  <c r="G20" i="3"/>
  <c r="G21" i="3"/>
  <c r="G22" i="3"/>
  <c r="G24" i="3"/>
  <c r="G25" i="3"/>
  <c r="G26" i="3"/>
  <c r="G27" i="3"/>
  <c r="G29" i="3"/>
  <c r="H29" i="3"/>
  <c r="C37" i="3"/>
  <c r="E35" i="3"/>
  <c r="E37" i="3"/>
  <c r="G32" i="3"/>
  <c r="G33" i="3"/>
  <c r="G34" i="3"/>
  <c r="G35" i="3"/>
  <c r="G37" i="3"/>
  <c r="H37" i="3"/>
  <c r="H39" i="3"/>
  <c r="R39" i="3"/>
  <c r="Q39" i="3"/>
  <c r="K29" i="3"/>
  <c r="K32" i="3"/>
  <c r="K33" i="3"/>
  <c r="K34" i="3"/>
  <c r="K37" i="3"/>
  <c r="K39" i="3"/>
  <c r="P39" i="3"/>
  <c r="N29" i="3"/>
  <c r="N37" i="3"/>
  <c r="N39" i="3"/>
  <c r="O39" i="3"/>
  <c r="M29" i="3"/>
  <c r="M37" i="3"/>
  <c r="M39" i="3"/>
  <c r="L29" i="3"/>
  <c r="L37" i="3"/>
  <c r="L39" i="3"/>
  <c r="J39" i="3"/>
  <c r="G39" i="3"/>
  <c r="E39" i="3"/>
  <c r="D39" i="3"/>
  <c r="C39" i="3"/>
  <c r="R37" i="3"/>
  <c r="Q37" i="3"/>
  <c r="P37" i="3"/>
  <c r="O37" i="3"/>
  <c r="J37" i="3"/>
  <c r="H35" i="3"/>
  <c r="R35" i="3"/>
  <c r="Q35" i="3"/>
  <c r="P35" i="3"/>
  <c r="O35" i="3"/>
  <c r="J35" i="3"/>
  <c r="H34" i="3"/>
  <c r="R34" i="3"/>
  <c r="Q34" i="3"/>
  <c r="P34" i="3"/>
  <c r="O34" i="3"/>
  <c r="J34" i="3"/>
  <c r="H33" i="3"/>
  <c r="R33" i="3"/>
  <c r="Q33" i="3"/>
  <c r="P33" i="3"/>
  <c r="O33" i="3"/>
  <c r="J33" i="3"/>
  <c r="H32" i="3"/>
  <c r="R32" i="3"/>
  <c r="Q32" i="3"/>
  <c r="P32" i="3"/>
  <c r="O32" i="3"/>
  <c r="J32" i="3"/>
  <c r="R29" i="3"/>
  <c r="Q29" i="3"/>
  <c r="P29" i="3"/>
  <c r="O29" i="3"/>
  <c r="J29" i="3"/>
  <c r="H27" i="3"/>
  <c r="R27" i="3"/>
  <c r="Q27" i="3"/>
  <c r="P27" i="3"/>
  <c r="O27" i="3"/>
  <c r="J27" i="3"/>
  <c r="H26" i="3"/>
  <c r="R26" i="3"/>
  <c r="Q26" i="3"/>
  <c r="P26" i="3"/>
  <c r="O26" i="3"/>
  <c r="J26" i="3"/>
  <c r="H25" i="3"/>
  <c r="R25" i="3"/>
  <c r="Q25" i="3"/>
  <c r="P25" i="3"/>
  <c r="O25" i="3"/>
  <c r="J25" i="3"/>
  <c r="H24" i="3"/>
  <c r="R24" i="3"/>
  <c r="Q24" i="3"/>
  <c r="P24" i="3"/>
  <c r="O24" i="3"/>
  <c r="J24" i="3"/>
  <c r="H22" i="3"/>
  <c r="R22" i="3"/>
  <c r="Q22" i="3"/>
  <c r="P22" i="3"/>
  <c r="O22" i="3"/>
  <c r="J22" i="3"/>
  <c r="H21" i="3"/>
  <c r="R21" i="3"/>
  <c r="Q21" i="3"/>
  <c r="P21" i="3"/>
  <c r="O21" i="3"/>
  <c r="J21" i="3"/>
  <c r="H20" i="3"/>
  <c r="R20" i="3"/>
  <c r="Q20" i="3"/>
  <c r="P20" i="3"/>
  <c r="O20" i="3"/>
  <c r="J20" i="3"/>
  <c r="H19" i="3"/>
  <c r="R19" i="3"/>
  <c r="Q19" i="3"/>
  <c r="P19" i="3"/>
  <c r="O19" i="3"/>
  <c r="J19" i="3"/>
  <c r="H18" i="3"/>
  <c r="R18" i="3"/>
  <c r="Q18" i="3"/>
  <c r="P18" i="3"/>
  <c r="O18" i="3"/>
  <c r="J18" i="3"/>
  <c r="H16" i="3"/>
  <c r="R16" i="3"/>
  <c r="Q16" i="3"/>
  <c r="P16" i="3"/>
  <c r="O16" i="3"/>
  <c r="J16" i="3"/>
  <c r="H15" i="3"/>
  <c r="R15" i="3"/>
  <c r="Q15" i="3"/>
  <c r="P15" i="3"/>
  <c r="O15" i="3"/>
  <c r="J15" i="3"/>
  <c r="H14" i="3"/>
  <c r="R14" i="3"/>
  <c r="Q14" i="3"/>
  <c r="P14" i="3"/>
  <c r="O14" i="3"/>
  <c r="J14" i="3"/>
  <c r="H13" i="3"/>
  <c r="R13" i="3"/>
  <c r="Q13" i="3"/>
  <c r="P13" i="3"/>
  <c r="O13" i="3"/>
  <c r="J13" i="3"/>
  <c r="H12" i="3"/>
  <c r="R12" i="3"/>
  <c r="Q12" i="3"/>
  <c r="P12" i="3"/>
  <c r="O12" i="3"/>
  <c r="J12" i="3"/>
  <c r="H10" i="3"/>
  <c r="R10" i="3"/>
  <c r="Q10" i="3"/>
  <c r="P10" i="3"/>
  <c r="O10" i="3"/>
  <c r="J10" i="3"/>
  <c r="H9" i="3"/>
  <c r="R9" i="3"/>
  <c r="Q9" i="3"/>
  <c r="P9" i="3"/>
  <c r="O9" i="3"/>
  <c r="J9" i="3"/>
  <c r="I35" i="1"/>
  <c r="I43" i="1"/>
  <c r="I45" i="1"/>
  <c r="G9" i="1"/>
  <c r="H9" i="1"/>
  <c r="G11" i="1"/>
  <c r="H11" i="1"/>
  <c r="G13" i="1"/>
  <c r="H13" i="1"/>
  <c r="G14" i="1"/>
  <c r="H14" i="1"/>
  <c r="G15" i="1"/>
  <c r="H15" i="1"/>
  <c r="G16" i="1"/>
  <c r="H16" i="1"/>
  <c r="G17" i="1"/>
  <c r="H17" i="1"/>
  <c r="G18" i="1"/>
  <c r="H18" i="1"/>
  <c r="G19" i="1"/>
  <c r="H19" i="1"/>
  <c r="G21" i="1"/>
  <c r="H21" i="1"/>
  <c r="G22" i="1"/>
  <c r="H22" i="1"/>
  <c r="G23" i="1"/>
  <c r="H23" i="1"/>
  <c r="G24" i="1"/>
  <c r="H24" i="1"/>
  <c r="G25" i="1"/>
  <c r="H25" i="1"/>
  <c r="G26" i="1"/>
  <c r="H26" i="1"/>
  <c r="G28" i="1"/>
  <c r="H28" i="1"/>
  <c r="G29" i="1"/>
  <c r="H29" i="1"/>
  <c r="G30" i="1"/>
  <c r="H30" i="1"/>
  <c r="G31" i="1"/>
  <c r="H31" i="1"/>
  <c r="G32" i="1"/>
  <c r="H32" i="1"/>
  <c r="H35" i="1"/>
  <c r="G38" i="1"/>
  <c r="H38" i="1"/>
  <c r="G39" i="1"/>
  <c r="H39" i="1"/>
  <c r="G40" i="1"/>
  <c r="H40" i="1"/>
  <c r="G41" i="1"/>
  <c r="H41" i="1"/>
  <c r="H43" i="1"/>
  <c r="H45" i="1"/>
  <c r="R45" i="1"/>
  <c r="Q45" i="1"/>
  <c r="K10" i="1"/>
  <c r="K21" i="1"/>
  <c r="K22" i="1"/>
  <c r="K23" i="1"/>
  <c r="K28" i="1"/>
  <c r="K35" i="1"/>
  <c r="K38" i="1"/>
  <c r="K43" i="1"/>
  <c r="K45" i="1"/>
  <c r="P45" i="1"/>
  <c r="N35" i="1"/>
  <c r="N43" i="1"/>
  <c r="N45" i="1"/>
  <c r="O45" i="1"/>
  <c r="M35" i="1"/>
  <c r="M43" i="1"/>
  <c r="M45" i="1"/>
  <c r="L35" i="1"/>
  <c r="L43" i="1"/>
  <c r="L45" i="1"/>
  <c r="J45" i="1"/>
  <c r="G35" i="1"/>
  <c r="G43" i="1"/>
  <c r="G45" i="1"/>
  <c r="F35" i="1"/>
  <c r="F43" i="1"/>
  <c r="F45" i="1"/>
  <c r="E43" i="1"/>
  <c r="E45" i="1"/>
  <c r="D35" i="1"/>
  <c r="D45" i="1"/>
  <c r="C43" i="1"/>
  <c r="C45" i="1"/>
  <c r="R43" i="1"/>
  <c r="Q43" i="1"/>
  <c r="P43" i="1"/>
  <c r="O43" i="1"/>
  <c r="J43" i="1"/>
  <c r="R41" i="1"/>
  <c r="Q41" i="1"/>
  <c r="P41" i="1"/>
  <c r="O41" i="1"/>
  <c r="J41" i="1"/>
  <c r="R40" i="1"/>
  <c r="Q40" i="1"/>
  <c r="P40" i="1"/>
  <c r="O40" i="1"/>
  <c r="J40" i="1"/>
  <c r="R39" i="1"/>
  <c r="Q39" i="1"/>
  <c r="P39" i="1"/>
  <c r="O39" i="1"/>
  <c r="J39" i="1"/>
  <c r="R38" i="1"/>
  <c r="Q38" i="1"/>
  <c r="P38" i="1"/>
  <c r="O38" i="1"/>
  <c r="J38" i="1"/>
  <c r="R35" i="1"/>
  <c r="Q35" i="1"/>
  <c r="P35" i="1"/>
  <c r="O35" i="1"/>
  <c r="J35" i="1"/>
  <c r="R32" i="1"/>
  <c r="Q32" i="1"/>
  <c r="P32" i="1"/>
  <c r="O32" i="1"/>
  <c r="J32" i="1"/>
  <c r="R31" i="1"/>
  <c r="Q31" i="1"/>
  <c r="P31" i="1"/>
  <c r="O31" i="1"/>
  <c r="J31" i="1"/>
  <c r="R30" i="1"/>
  <c r="Q30" i="1"/>
  <c r="P30" i="1"/>
  <c r="O30" i="1"/>
  <c r="J30" i="1"/>
  <c r="R29" i="1"/>
  <c r="Q29" i="1"/>
  <c r="P29" i="1"/>
  <c r="O29" i="1"/>
  <c r="J29" i="1"/>
  <c r="R28" i="1"/>
  <c r="Q28" i="1"/>
  <c r="P28" i="1"/>
  <c r="O28" i="1"/>
  <c r="J28" i="1"/>
  <c r="R26" i="1"/>
  <c r="Q26" i="1"/>
  <c r="P26" i="1"/>
  <c r="O26" i="1"/>
  <c r="J26" i="1"/>
  <c r="R25" i="1"/>
  <c r="Q25" i="1"/>
  <c r="P25" i="1"/>
  <c r="O25" i="1"/>
  <c r="J25" i="1"/>
  <c r="R24" i="1"/>
  <c r="Q24" i="1"/>
  <c r="P24" i="1"/>
  <c r="O24" i="1"/>
  <c r="J24" i="1"/>
  <c r="R23" i="1"/>
  <c r="Q23" i="1"/>
  <c r="P23" i="1"/>
  <c r="J23" i="1"/>
  <c r="R22" i="1"/>
  <c r="Q22" i="1"/>
  <c r="P22" i="1"/>
  <c r="O22" i="1"/>
  <c r="J22" i="1"/>
  <c r="R21" i="1"/>
  <c r="Q21" i="1"/>
  <c r="P21" i="1"/>
  <c r="O21" i="1"/>
  <c r="J21" i="1"/>
  <c r="R19" i="1"/>
  <c r="Q19" i="1"/>
  <c r="P19" i="1"/>
  <c r="O19" i="1"/>
  <c r="J19" i="1"/>
  <c r="R18" i="1"/>
  <c r="Q18" i="1"/>
  <c r="P18" i="1"/>
  <c r="O18" i="1"/>
  <c r="J18" i="1"/>
  <c r="R17" i="1"/>
  <c r="Q17" i="1"/>
  <c r="P17" i="1"/>
  <c r="O17" i="1"/>
  <c r="J17" i="1"/>
  <c r="R16" i="1"/>
  <c r="Q16" i="1"/>
  <c r="P16" i="1"/>
  <c r="O16" i="1"/>
  <c r="J16" i="1"/>
  <c r="R15" i="1"/>
  <c r="Q15" i="1"/>
  <c r="P15" i="1"/>
  <c r="O15" i="1"/>
  <c r="J15" i="1"/>
  <c r="R14" i="1"/>
  <c r="Q14" i="1"/>
  <c r="P14" i="1"/>
  <c r="O14" i="1"/>
  <c r="J14" i="1"/>
  <c r="R13" i="1"/>
  <c r="Q13" i="1"/>
  <c r="P13" i="1"/>
  <c r="O13" i="1"/>
  <c r="J13" i="1"/>
  <c r="R11" i="1"/>
  <c r="Q11" i="1"/>
  <c r="P11" i="1"/>
  <c r="O11" i="1"/>
  <c r="J11" i="1"/>
  <c r="R10" i="1"/>
  <c r="Q10" i="1"/>
  <c r="P10" i="1"/>
  <c r="O10" i="1"/>
  <c r="R9" i="1"/>
  <c r="Q9" i="1"/>
  <c r="P9" i="1"/>
  <c r="O9" i="1"/>
  <c r="J9" i="1"/>
  <c r="I34" i="2"/>
  <c r="I42" i="2"/>
  <c r="I44" i="2"/>
  <c r="C34" i="2"/>
  <c r="D34" i="2"/>
  <c r="E34" i="2"/>
  <c r="G9" i="2"/>
  <c r="G10" i="2"/>
  <c r="G12" i="2"/>
  <c r="G13" i="2"/>
  <c r="G14" i="2"/>
  <c r="G15" i="2"/>
  <c r="G16" i="2"/>
  <c r="G17" i="2"/>
  <c r="G18" i="2"/>
  <c r="G19" i="2"/>
  <c r="G21" i="2"/>
  <c r="G22" i="2"/>
  <c r="G23" i="2"/>
  <c r="G24" i="2"/>
  <c r="G25" i="2"/>
  <c r="G26" i="2"/>
  <c r="G28" i="2"/>
  <c r="G29" i="2"/>
  <c r="G30" i="2"/>
  <c r="G31" i="2"/>
  <c r="G32" i="2"/>
  <c r="G34" i="2"/>
  <c r="H34" i="2"/>
  <c r="C42" i="2"/>
  <c r="E40" i="2"/>
  <c r="E42" i="2"/>
  <c r="G37" i="2"/>
  <c r="G38" i="2"/>
  <c r="G39" i="2"/>
  <c r="G40" i="2"/>
  <c r="G42" i="2"/>
  <c r="H42" i="2"/>
  <c r="H44" i="2"/>
  <c r="R44" i="2"/>
  <c r="Q44" i="2"/>
  <c r="K9" i="2"/>
  <c r="K10" i="2"/>
  <c r="K12" i="2"/>
  <c r="K13" i="2"/>
  <c r="K14" i="2"/>
  <c r="K15" i="2"/>
  <c r="K21" i="2"/>
  <c r="K22" i="2"/>
  <c r="K23" i="2"/>
  <c r="K24" i="2"/>
  <c r="K25" i="2"/>
  <c r="K26" i="2"/>
  <c r="K28" i="2"/>
  <c r="K29" i="2"/>
  <c r="K30" i="2"/>
  <c r="K34" i="2"/>
  <c r="K37" i="2"/>
  <c r="K38" i="2"/>
  <c r="K39" i="2"/>
  <c r="K40" i="2"/>
  <c r="K42" i="2"/>
  <c r="K44" i="2"/>
  <c r="P44" i="2"/>
  <c r="N34" i="2"/>
  <c r="N42" i="2"/>
  <c r="N44" i="2"/>
  <c r="O44" i="2"/>
  <c r="M34" i="2"/>
  <c r="M42" i="2"/>
  <c r="M44" i="2"/>
  <c r="L34" i="2"/>
  <c r="L42" i="2"/>
  <c r="L44" i="2"/>
  <c r="J44" i="2"/>
  <c r="G44" i="2"/>
  <c r="E44" i="2"/>
  <c r="D44" i="2"/>
  <c r="C44" i="2"/>
  <c r="R42" i="2"/>
  <c r="Q42" i="2"/>
  <c r="P42" i="2"/>
  <c r="O42" i="2"/>
  <c r="J42" i="2"/>
  <c r="H40" i="2"/>
  <c r="R40" i="2"/>
  <c r="Q40" i="2"/>
  <c r="P40" i="2"/>
  <c r="O40" i="2"/>
  <c r="J40" i="2"/>
  <c r="H39" i="2"/>
  <c r="R39" i="2"/>
  <c r="Q39" i="2"/>
  <c r="P39" i="2"/>
  <c r="O39" i="2"/>
  <c r="J39" i="2"/>
  <c r="H38" i="2"/>
  <c r="R38" i="2"/>
  <c r="Q38" i="2"/>
  <c r="P38" i="2"/>
  <c r="O38" i="2"/>
  <c r="J38" i="2"/>
  <c r="H37" i="2"/>
  <c r="R37" i="2"/>
  <c r="Q37" i="2"/>
  <c r="P37" i="2"/>
  <c r="O37" i="2"/>
  <c r="J37" i="2"/>
  <c r="R34" i="2"/>
  <c r="Q34" i="2"/>
  <c r="P34" i="2"/>
  <c r="O34" i="2"/>
  <c r="J34" i="2"/>
  <c r="H32" i="2"/>
  <c r="R32" i="2"/>
  <c r="Q32" i="2"/>
  <c r="P32" i="2"/>
  <c r="O32" i="2"/>
  <c r="J32" i="2"/>
  <c r="H31" i="2"/>
  <c r="R31" i="2"/>
  <c r="Q31" i="2"/>
  <c r="P31" i="2"/>
  <c r="O31" i="2"/>
  <c r="J31" i="2"/>
  <c r="H30" i="2"/>
  <c r="R30" i="2"/>
  <c r="Q30" i="2"/>
  <c r="P30" i="2"/>
  <c r="O30" i="2"/>
  <c r="J30" i="2"/>
  <c r="H29" i="2"/>
  <c r="R29" i="2"/>
  <c r="Q29" i="2"/>
  <c r="P29" i="2"/>
  <c r="O29" i="2"/>
  <c r="J29" i="2"/>
  <c r="H28" i="2"/>
  <c r="R28" i="2"/>
  <c r="Q28" i="2"/>
  <c r="P28" i="2"/>
  <c r="O28" i="2"/>
  <c r="J28" i="2"/>
  <c r="H26" i="2"/>
  <c r="R26" i="2"/>
  <c r="Q26" i="2"/>
  <c r="P26" i="2"/>
  <c r="O26" i="2"/>
  <c r="J26" i="2"/>
  <c r="H25" i="2"/>
  <c r="R25" i="2"/>
  <c r="Q25" i="2"/>
  <c r="P25" i="2"/>
  <c r="O25" i="2"/>
  <c r="J25" i="2"/>
  <c r="H24" i="2"/>
  <c r="R24" i="2"/>
  <c r="Q24" i="2"/>
  <c r="P24" i="2"/>
  <c r="O24" i="2"/>
  <c r="J24" i="2"/>
  <c r="H23" i="2"/>
  <c r="R23" i="2"/>
  <c r="Q23" i="2"/>
  <c r="P23" i="2"/>
  <c r="J23" i="2"/>
  <c r="H22" i="2"/>
  <c r="R22" i="2"/>
  <c r="Q22" i="2"/>
  <c r="P22" i="2"/>
  <c r="O22" i="2"/>
  <c r="J22" i="2"/>
  <c r="H21" i="2"/>
  <c r="R21" i="2"/>
  <c r="Q21" i="2"/>
  <c r="P21" i="2"/>
  <c r="O21" i="2"/>
  <c r="J21" i="2"/>
  <c r="H19" i="2"/>
  <c r="P19" i="2"/>
  <c r="O19" i="2"/>
  <c r="J19" i="2"/>
  <c r="H18" i="2"/>
  <c r="P18" i="2"/>
  <c r="O18" i="2"/>
  <c r="J18" i="2"/>
  <c r="H17" i="2"/>
  <c r="R17" i="2"/>
  <c r="Q17" i="2"/>
  <c r="P17" i="2"/>
  <c r="O17" i="2"/>
  <c r="J17" i="2"/>
  <c r="H16" i="2"/>
  <c r="R16" i="2"/>
  <c r="Q16" i="2"/>
  <c r="P16" i="2"/>
  <c r="O16" i="2"/>
  <c r="J16" i="2"/>
  <c r="H15" i="2"/>
  <c r="R15" i="2"/>
  <c r="Q15" i="2"/>
  <c r="P15" i="2"/>
  <c r="O15" i="2"/>
  <c r="J15" i="2"/>
  <c r="H14" i="2"/>
  <c r="R14" i="2"/>
  <c r="Q14" i="2"/>
  <c r="P14" i="2"/>
  <c r="O14" i="2"/>
  <c r="J14" i="2"/>
  <c r="H13" i="2"/>
  <c r="R13" i="2"/>
  <c r="Q13" i="2"/>
  <c r="P13" i="2"/>
  <c r="O13" i="2"/>
  <c r="J13" i="2"/>
  <c r="H12" i="2"/>
  <c r="R12" i="2"/>
  <c r="Q12" i="2"/>
  <c r="P12" i="2"/>
  <c r="O12" i="2"/>
  <c r="J12" i="2"/>
  <c r="H10" i="2"/>
  <c r="R10" i="2"/>
  <c r="Q10" i="2"/>
  <c r="P10" i="2"/>
  <c r="O10" i="2"/>
  <c r="J10" i="2"/>
  <c r="H9" i="2"/>
  <c r="R9" i="2"/>
  <c r="Q9" i="2"/>
  <c r="P9" i="2"/>
  <c r="O9" i="2"/>
  <c r="J9" i="2"/>
</calcChain>
</file>

<file path=xl/sharedStrings.xml><?xml version="1.0" encoding="utf-8"?>
<sst xmlns="http://schemas.openxmlformats.org/spreadsheetml/2006/main" count="438" uniqueCount="109">
  <si>
    <t>Academic Ratios Report for 2012-2013</t>
  </si>
  <si>
    <t>Revised 1.15.14:</t>
  </si>
  <si>
    <t>(Columns include double majors)</t>
  </si>
  <si>
    <t xml:space="preserve">Total </t>
  </si>
  <si>
    <t>F/S/MT</t>
  </si>
  <si>
    <t>Units per</t>
  </si>
  <si>
    <t>Fall 2012</t>
  </si>
  <si>
    <t>Tenure</t>
  </si>
  <si>
    <t>Full-time</t>
  </si>
  <si>
    <t>Instruct</t>
  </si>
  <si>
    <t>Adjunct</t>
  </si>
  <si>
    <t>Instructional</t>
  </si>
  <si>
    <t>Units</t>
  </si>
  <si>
    <t>Fac FTE</t>
  </si>
  <si>
    <t>Majors</t>
  </si>
  <si>
    <t>Jr/Sr Maj</t>
  </si>
  <si>
    <t>Total Maj</t>
  </si>
  <si>
    <t>Stu FTE to</t>
  </si>
  <si>
    <t>Class</t>
  </si>
  <si>
    <t>Academic department</t>
  </si>
  <si>
    <t>Div</t>
  </si>
  <si>
    <t>Track</t>
  </si>
  <si>
    <t>visiting</t>
  </si>
  <si>
    <t>staff</t>
  </si>
  <si>
    <t>FTE</t>
  </si>
  <si>
    <t xml:space="preserve"> FTE</t>
  </si>
  <si>
    <t>Generated</t>
  </si>
  <si>
    <t>Total</t>
  </si>
  <si>
    <t>Frosh</t>
  </si>
  <si>
    <t>Soph</t>
  </si>
  <si>
    <t>Jr-Sr</t>
  </si>
  <si>
    <t>per Fac FTE</t>
  </si>
  <si>
    <t>size index</t>
  </si>
  <si>
    <t>Data Source(s)</t>
  </si>
  <si>
    <t>FDB</t>
  </si>
  <si>
    <t>FDB + adjunct pay spreadsheet</t>
  </si>
  <si>
    <t>calc</t>
  </si>
  <si>
    <t>Units generated reports + enrollment by course for each term</t>
  </si>
  <si>
    <t>Master student file for Fall term</t>
  </si>
  <si>
    <t>COLLEGE OF LIBERAL ARTS</t>
  </si>
  <si>
    <t>Business</t>
  </si>
  <si>
    <t>B</t>
  </si>
  <si>
    <t xml:space="preserve">Economics </t>
  </si>
  <si>
    <t xml:space="preserve">English </t>
  </si>
  <si>
    <t>H</t>
  </si>
  <si>
    <t>Hispanic Studies</t>
  </si>
  <si>
    <t xml:space="preserve">Philosophy </t>
  </si>
  <si>
    <t xml:space="preserve">Religion </t>
  </si>
  <si>
    <t xml:space="preserve">MCLL </t>
  </si>
  <si>
    <t>GRS</t>
  </si>
  <si>
    <t>French and Italian</t>
  </si>
  <si>
    <t>German, Russsian, and Asian Languages</t>
  </si>
  <si>
    <t xml:space="preserve">Biology </t>
  </si>
  <si>
    <t>N</t>
  </si>
  <si>
    <t xml:space="preserve">Chemistry </t>
  </si>
  <si>
    <t>CS</t>
  </si>
  <si>
    <t>Mathematics</t>
  </si>
  <si>
    <t xml:space="preserve">Physics </t>
  </si>
  <si>
    <t xml:space="preserve">Psychology </t>
  </si>
  <si>
    <t xml:space="preserve">Educational Studies </t>
  </si>
  <si>
    <t>S</t>
  </si>
  <si>
    <t xml:space="preserve">History </t>
  </si>
  <si>
    <t xml:space="preserve">Political Science </t>
  </si>
  <si>
    <t>Sociology</t>
  </si>
  <si>
    <t>Anthropology</t>
  </si>
  <si>
    <t>LIBERAL ARTS TOTALS</t>
  </si>
  <si>
    <t>PROFESSIONAL SCHOOLS</t>
  </si>
  <si>
    <t>Art</t>
  </si>
  <si>
    <t xml:space="preserve">Music </t>
  </si>
  <si>
    <t xml:space="preserve">Nursing </t>
  </si>
  <si>
    <t>Theatre Arts (includes MUTH and MUTH Dance credits)</t>
  </si>
  <si>
    <t>PROFESSIONAL SCHOOL TOTALS</t>
  </si>
  <si>
    <t>ALL-UNIVERSITY TOTALS</t>
  </si>
  <si>
    <t xml:space="preserve">Notes — </t>
  </si>
  <si>
    <t>•  The "tenure track" number posted to this report reflects the total tenure lines minus tenure line faculty who are on leave and faculty leading IWU's London and Barcelona programs.</t>
  </si>
  <si>
    <t>• Music and Theatre Arts adjunct units include course units taught by adjuncts, as well as conversion of hourly instruction into course-unit equivalents.</t>
  </si>
  <si>
    <t>•Units Generated Includes enrollment in Gateway, the Humanities sequence, and non-crosslisted courses in ES and IS.  Interdisciplinary or Gateway units taught by adjuncts are not credited to departments.</t>
  </si>
  <si>
    <t>• Student classifications defined by CUs earned, using Catalog definitions; undecided and interdisciplinary majors not counted in any department.</t>
  </si>
  <si>
    <t>• Since there are no tenure lines allocated to interdisciplinary programs in 2012-13, these programs do not appear on the ratios report.  For reference, the two largest interdisciplinary programs are International Studies (49 majors) and Environmental Studies (52 majors).</t>
  </si>
  <si>
    <t>Accounting/FIS</t>
  </si>
  <si>
    <t>German, Russian, and Asian Languages</t>
  </si>
  <si>
    <t>Academic Ratios Report for 2011-2012</t>
  </si>
  <si>
    <t>Revised 2.4.13:</t>
  </si>
  <si>
    <t>Fall 2011</t>
  </si>
  <si>
    <t>Business*</t>
  </si>
  <si>
    <t xml:space="preserve">MCLL* </t>
  </si>
  <si>
    <t xml:space="preserve">Sociology/Anthropology </t>
  </si>
  <si>
    <t>Theatre Arts (includes MUTH and MUTH Dance credits)*</t>
  </si>
  <si>
    <t>• Zahia Drici (Math/CS) and Irv Epstein (Ed Studies) are on leave from their respective departments for administrative duties</t>
  </si>
  <si>
    <t>•Units Generated Includes enrollment in Gateway and non-cross listed interdisciplinary courses.  interdisciplinary units taught by adjuncts are not credited to departments, nor are Gateway or interdisciplinary adjunct faculty resources charged to departments</t>
  </si>
  <si>
    <t>• Since there are no tenure lines allocated to interdisciplinary programs in 2011-12, these programs do not appear on the ratios report.  For reference, the two largest interdisciplinary programs are International Studies (62 majors) and Environmental Studies (50 majors).</t>
  </si>
  <si>
    <t>* Note that additional details regarding the number of majors for these departments/schools is included in second spreadsheet for reference.</t>
  </si>
  <si>
    <t>Academic Ratios Report for 2010-2011</t>
  </si>
  <si>
    <t>Revised 2.8.12:</t>
  </si>
  <si>
    <t xml:space="preserve">     French</t>
  </si>
  <si>
    <t xml:space="preserve">     German</t>
  </si>
  <si>
    <t xml:space="preserve">Mathematics/Computer Sci </t>
  </si>
  <si>
    <t>•Units Generated does not Include enrollment in Gateway.  interdisciplinary units taught by adjuncts are not credited to departments, nor are Gateway or interdisciplinary adjunct faculty resources charged to departments</t>
  </si>
  <si>
    <t>• Since there are no tenure lines allocated to interdisciplinary programs, these programs do not appear on the ratios report.  For reference, the two largest interdisciplinary programs are International Studies (64 majors) and Environmental Studies (30 majors).</t>
  </si>
  <si>
    <t xml:space="preserve">•  The "tenure track" number posted to this report reflects the total tenure lines minus tenure line faculty who are on leave and faculty leading IWU's London and Barcelona programs.  </t>
  </si>
  <si>
    <t>•  Course releases are also removed from the calculation of TT FTE.</t>
  </si>
  <si>
    <t>ES</t>
  </si>
  <si>
    <t>I</t>
  </si>
  <si>
    <t>• Music and Theatre Arts adjunct units include course units taught by adjuncts, as well as conversion of hourly instruction and other instructional costs into course-unit equivalents.</t>
  </si>
  <si>
    <t>•Units Generated Includes enrollment in Gateway, the Humanities sequence, and non-crosslisted courses in IS.  IS or Gateway units taught by adjuncts are not credited to departments.</t>
  </si>
  <si>
    <t xml:space="preserve">•  International Studies has xxxx majors.  </t>
  </si>
  <si>
    <t>Academic Ratios Report for 2015-2016</t>
  </si>
  <si>
    <t>Fall 2015</t>
  </si>
  <si>
    <t>Revised 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</si>
</sst>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0_);_(* \(#,##0.00\);_(* &quot;-&quot;??_);_(@_)"/>
    <numFmt numFmtId="166" formatCode="_(* #,##0_);_(* \(#,##0\);_(* &quot;-&quot;??_);_(@_)"/>
  </numFmts>
  <fonts count="17" x14ac:knownFonts="1">
    <font>
      <sz val="12"/>
      <color theme="1"/>
      <name val="Calibri"/>
      <family val="2"/>
      <scheme val="minor"/>
    </font>
    <font>
      <sz val="12"/>
      <color theme="1"/>
      <name val="Calibri"/>
      <family val="2"/>
      <scheme val="minor"/>
    </font>
    <font>
      <i/>
      <sz val="20"/>
      <color rgb="FFFF0000"/>
      <name val="Geneva"/>
    </font>
    <font>
      <sz val="9"/>
      <name val="Geneva"/>
    </font>
    <font>
      <sz val="18"/>
      <name val="Geneva"/>
    </font>
    <font>
      <i/>
      <sz val="10"/>
      <name val="Geneva"/>
    </font>
    <font>
      <b/>
      <sz val="10"/>
      <name val="Geneva"/>
    </font>
    <font>
      <b/>
      <i/>
      <sz val="9"/>
      <name val="Geneva"/>
    </font>
    <font>
      <sz val="8"/>
      <name val="Geneva"/>
    </font>
    <font>
      <sz val="10"/>
      <name val="Geneva"/>
    </font>
    <font>
      <b/>
      <i/>
      <sz val="10"/>
      <name val="Geneva"/>
    </font>
    <font>
      <b/>
      <sz val="9"/>
      <name val="Geneva"/>
    </font>
    <font>
      <sz val="9"/>
      <color rgb="FFFF0000"/>
      <name val="Geneva"/>
    </font>
    <font>
      <i/>
      <sz val="22"/>
      <color rgb="FFFF0000"/>
      <name val="Geneva"/>
    </font>
    <font>
      <b/>
      <sz val="10"/>
      <color rgb="FFFF0000"/>
      <name val="Geneva"/>
    </font>
    <font>
      <sz val="8"/>
      <name val="Calibri"/>
      <family val="2"/>
      <scheme val="minor"/>
    </font>
    <font>
      <sz val="10"/>
      <color theme="1"/>
      <name val="Geneva"/>
    </font>
  </fonts>
  <fills count="3">
    <fill>
      <patternFill patternType="none"/>
    </fill>
    <fill>
      <patternFill patternType="gray125"/>
    </fill>
    <fill>
      <patternFill patternType="solid">
        <fgColor indexed="11"/>
        <bgColor indexed="64"/>
      </patternFill>
    </fill>
  </fills>
  <borders count="4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2">
    <xf numFmtId="0" fontId="0" fillId="0" borderId="0"/>
    <xf numFmtId="43" fontId="1" fillId="0" borderId="0" applyFont="0" applyFill="0" applyBorder="0" applyAlignment="0" applyProtection="0"/>
  </cellStyleXfs>
  <cellXfs count="262">
    <xf numFmtId="0" fontId="0" fillId="0" borderId="0" xfId="0"/>
    <xf numFmtId="14" fontId="2" fillId="0" borderId="0" xfId="0" applyNumberFormat="1" applyFont="1" applyFill="1" applyAlignment="1">
      <alignment horizontal="left"/>
    </xf>
    <xf numFmtId="0" fontId="3" fillId="0" borderId="0" xfId="0" applyFont="1" applyFill="1"/>
    <xf numFmtId="0" fontId="4" fillId="0" borderId="0" xfId="0" applyFont="1" applyFill="1"/>
    <xf numFmtId="0" fontId="3" fillId="0" borderId="0" xfId="0" applyFont="1" applyFill="1" applyAlignment="1">
      <alignment horizontal="center"/>
    </xf>
    <xf numFmtId="14" fontId="5" fillId="2" borderId="0" xfId="0" applyNumberFormat="1" applyFont="1" applyFill="1" applyAlignment="1">
      <alignment horizontal="left"/>
    </xf>
    <xf numFmtId="0" fontId="3" fillId="2" borderId="1" xfId="0" applyFont="1" applyFill="1" applyBorder="1"/>
    <xf numFmtId="0" fontId="6" fillId="0" borderId="2" xfId="0" applyFont="1" applyFill="1" applyBorder="1"/>
    <xf numFmtId="0" fontId="3" fillId="0" borderId="2" xfId="0" applyFont="1" applyFill="1" applyBorder="1"/>
    <xf numFmtId="0" fontId="3" fillId="0" borderId="2" xfId="0" applyFont="1" applyFill="1" applyBorder="1" applyAlignment="1">
      <alignment horizontal="center"/>
    </xf>
    <xf numFmtId="0" fontId="3" fillId="0" borderId="3" xfId="0" applyFont="1" applyFill="1" applyBorder="1" applyAlignment="1">
      <alignment horizontal="center"/>
    </xf>
    <xf numFmtId="14" fontId="5" fillId="0" borderId="0" xfId="0" applyNumberFormat="1" applyFont="1" applyFill="1" applyAlignment="1">
      <alignment horizontal="left" wrapText="1"/>
    </xf>
    <xf numFmtId="0" fontId="3" fillId="0" borderId="6" xfId="0" applyFont="1" applyFill="1" applyBorder="1"/>
    <xf numFmtId="0" fontId="5" fillId="0" borderId="7" xfId="0" applyFont="1" applyFill="1" applyBorder="1" applyAlignment="1">
      <alignment horizontal="center"/>
    </xf>
    <xf numFmtId="0" fontId="3" fillId="0" borderId="7" xfId="0" applyFont="1" applyFill="1" applyBorder="1"/>
    <xf numFmtId="0" fontId="7" fillId="0" borderId="7" xfId="0" applyFont="1" applyFill="1" applyBorder="1" applyAlignment="1">
      <alignment horizontal="center"/>
    </xf>
    <xf numFmtId="164" fontId="5" fillId="0" borderId="0" xfId="0" applyNumberFormat="1" applyFont="1" applyFill="1"/>
    <xf numFmtId="0" fontId="5" fillId="0" borderId="6" xfId="0" applyFont="1" applyFill="1" applyBorder="1"/>
    <xf numFmtId="164" fontId="5" fillId="0" borderId="7" xfId="0" applyNumberFormat="1" applyFont="1" applyFill="1" applyBorder="1" applyAlignment="1">
      <alignment horizontal="center"/>
    </xf>
    <xf numFmtId="0" fontId="5" fillId="0" borderId="8" xfId="0" applyFont="1" applyFill="1" applyBorder="1" applyAlignment="1">
      <alignment horizontal="center"/>
    </xf>
    <xf numFmtId="0" fontId="5" fillId="0" borderId="11" xfId="0" applyFont="1" applyFill="1" applyBorder="1" applyAlignment="1">
      <alignment horizontal="center"/>
    </xf>
    <xf numFmtId="164" fontId="5" fillId="0" borderId="7" xfId="0" applyNumberFormat="1" applyFont="1" applyFill="1" applyBorder="1"/>
    <xf numFmtId="0" fontId="5" fillId="0" borderId="12" xfId="0" applyFont="1" applyFill="1" applyBorder="1" applyAlignment="1">
      <alignment horizontal="left"/>
    </xf>
    <xf numFmtId="164" fontId="5" fillId="0" borderId="13" xfId="0" applyNumberFormat="1"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164" fontId="3" fillId="0" borderId="16" xfId="0" applyNumberFormat="1" applyFont="1" applyFill="1" applyBorder="1"/>
    <xf numFmtId="0" fontId="3" fillId="0" borderId="0" xfId="0" applyFont="1" applyFill="1" applyBorder="1"/>
    <xf numFmtId="0" fontId="3" fillId="0" borderId="0" xfId="0" applyFont="1" applyFill="1" applyBorder="1" applyAlignment="1">
      <alignment horizontal="center"/>
    </xf>
    <xf numFmtId="0" fontId="3" fillId="0" borderId="17" xfId="0" applyFont="1" applyFill="1" applyBorder="1" applyAlignment="1">
      <alignment horizontal="center"/>
    </xf>
    <xf numFmtId="0" fontId="3" fillId="0" borderId="1" xfId="0" applyFont="1" applyFill="1" applyBorder="1" applyAlignment="1">
      <alignment horizontal="center" vertical="center"/>
    </xf>
    <xf numFmtId="0" fontId="8" fillId="0" borderId="2" xfId="0" applyFont="1" applyFill="1" applyBorder="1" applyAlignment="1">
      <alignment horizontal="center"/>
    </xf>
    <xf numFmtId="0" fontId="8" fillId="0" borderId="2" xfId="0" applyFont="1" applyFill="1" applyBorder="1" applyAlignment="1">
      <alignment horizontal="center" wrapText="1"/>
    </xf>
    <xf numFmtId="0" fontId="3" fillId="0" borderId="18" xfId="0" applyFont="1" applyFill="1" applyBorder="1" applyAlignment="1">
      <alignment horizontal="center"/>
    </xf>
    <xf numFmtId="164" fontId="6" fillId="0" borderId="6" xfId="0" applyNumberFormat="1" applyFont="1" applyFill="1" applyBorder="1"/>
    <xf numFmtId="0" fontId="3" fillId="0" borderId="7" xfId="0" applyFont="1" applyFill="1" applyBorder="1" applyAlignment="1">
      <alignment horizontal="center"/>
    </xf>
    <xf numFmtId="0" fontId="3" fillId="0" borderId="11" xfId="0" applyFont="1" applyFill="1" applyBorder="1" applyAlignment="1">
      <alignment horizontal="center"/>
    </xf>
    <xf numFmtId="164" fontId="9" fillId="0" borderId="6" xfId="0" applyNumberFormat="1" applyFont="1" applyFill="1" applyBorder="1"/>
    <xf numFmtId="2" fontId="5" fillId="0" borderId="7" xfId="0" applyNumberFormat="1" applyFont="1" applyFill="1" applyBorder="1" applyAlignment="1">
      <alignment horizontal="center"/>
    </xf>
    <xf numFmtId="2" fontId="3" fillId="0" borderId="7" xfId="0" applyNumberFormat="1" applyFont="1" applyFill="1" applyBorder="1" applyAlignment="1">
      <alignment horizontal="center"/>
    </xf>
    <xf numFmtId="165" fontId="5" fillId="0" borderId="7" xfId="1" applyNumberFormat="1" applyFont="1" applyFill="1" applyBorder="1" applyAlignment="1">
      <alignment horizontal="center"/>
    </xf>
    <xf numFmtId="164" fontId="3" fillId="0" borderId="7" xfId="0" applyNumberFormat="1" applyFont="1" applyFill="1" applyBorder="1" applyAlignment="1">
      <alignment horizontal="center"/>
    </xf>
    <xf numFmtId="164" fontId="3" fillId="0" borderId="11" xfId="0" applyNumberFormat="1" applyFont="1" applyFill="1" applyBorder="1" applyAlignment="1">
      <alignment horizontal="center"/>
    </xf>
    <xf numFmtId="1" fontId="0" fillId="0" borderId="7" xfId="0" applyNumberFormat="1" applyFill="1" applyBorder="1" applyAlignment="1">
      <alignment horizontal="center"/>
    </xf>
    <xf numFmtId="0" fontId="3" fillId="0" borderId="19" xfId="0" applyFont="1" applyFill="1" applyBorder="1" applyAlignment="1">
      <alignment horizontal="center"/>
    </xf>
    <xf numFmtId="2" fontId="5" fillId="0" borderId="19" xfId="0" applyNumberFormat="1" applyFont="1" applyFill="1" applyBorder="1" applyAlignment="1">
      <alignment horizontal="center"/>
    </xf>
    <xf numFmtId="2" fontId="3" fillId="0" borderId="19" xfId="0" applyNumberFormat="1" applyFont="1" applyFill="1" applyBorder="1" applyAlignment="1">
      <alignment horizontal="center"/>
    </xf>
    <xf numFmtId="165" fontId="5" fillId="0" borderId="19" xfId="0" applyNumberFormat="1" applyFont="1" applyFill="1" applyBorder="1" applyAlignment="1">
      <alignment horizontal="center"/>
    </xf>
    <xf numFmtId="164" fontId="3" fillId="0" borderId="19" xfId="0" applyNumberFormat="1" applyFont="1" applyFill="1" applyBorder="1" applyAlignment="1">
      <alignment horizontal="center"/>
    </xf>
    <xf numFmtId="164" fontId="3" fillId="0" borderId="10" xfId="0" applyNumberFormat="1" applyFont="1" applyFill="1" applyBorder="1" applyAlignment="1">
      <alignment horizontal="center"/>
    </xf>
    <xf numFmtId="0" fontId="0" fillId="0" borderId="0" xfId="0" applyFill="1"/>
    <xf numFmtId="164" fontId="9" fillId="0" borderId="20" xfId="0" applyNumberFormat="1" applyFont="1" applyFill="1" applyBorder="1"/>
    <xf numFmtId="0" fontId="3" fillId="0" borderId="21" xfId="0" applyFont="1" applyFill="1" applyBorder="1" applyAlignment="1">
      <alignment horizontal="center"/>
    </xf>
    <xf numFmtId="2" fontId="5" fillId="0" borderId="21" xfId="0" applyNumberFormat="1" applyFont="1" applyFill="1" applyBorder="1" applyAlignment="1">
      <alignment horizontal="center"/>
    </xf>
    <xf numFmtId="2" fontId="3" fillId="0" borderId="21" xfId="0" applyNumberFormat="1" applyFont="1" applyFill="1" applyBorder="1" applyAlignment="1">
      <alignment horizontal="center"/>
    </xf>
    <xf numFmtId="165" fontId="5" fillId="0" borderId="21" xfId="1" applyNumberFormat="1" applyFont="1" applyFill="1" applyBorder="1" applyAlignment="1">
      <alignment horizontal="center"/>
    </xf>
    <xf numFmtId="164" fontId="3" fillId="0" borderId="21" xfId="0" applyNumberFormat="1" applyFont="1" applyFill="1" applyBorder="1" applyAlignment="1">
      <alignment horizontal="center"/>
    </xf>
    <xf numFmtId="164" fontId="3" fillId="0" borderId="22" xfId="0" applyNumberFormat="1" applyFont="1" applyFill="1" applyBorder="1" applyAlignment="1">
      <alignment horizontal="center"/>
    </xf>
    <xf numFmtId="2" fontId="5"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165" fontId="5" fillId="0" borderId="0" xfId="1" applyNumberFormat="1" applyFont="1" applyFill="1" applyBorder="1" applyAlignment="1">
      <alignment horizontal="center"/>
    </xf>
    <xf numFmtId="0" fontId="9" fillId="0" borderId="0" xfId="0" applyFont="1" applyFill="1" applyBorder="1" applyAlignment="1">
      <alignment horizontal="center"/>
    </xf>
    <xf numFmtId="164" fontId="3" fillId="0" borderId="0" xfId="0" applyNumberFormat="1" applyFont="1" applyFill="1" applyBorder="1" applyAlignment="1">
      <alignment horizontal="center"/>
    </xf>
    <xf numFmtId="164" fontId="3" fillId="0" borderId="17" xfId="0" applyNumberFormat="1" applyFont="1" applyFill="1" applyBorder="1" applyAlignment="1">
      <alignment horizontal="center"/>
    </xf>
    <xf numFmtId="164" fontId="6" fillId="0" borderId="23" xfId="0" applyNumberFormat="1" applyFont="1" applyFill="1" applyBorder="1"/>
    <xf numFmtId="0" fontId="3" fillId="0" borderId="24" xfId="0" applyFont="1" applyFill="1" applyBorder="1"/>
    <xf numFmtId="4" fontId="6" fillId="0" borderId="24" xfId="0" applyNumberFormat="1" applyFont="1" applyFill="1" applyBorder="1" applyAlignment="1">
      <alignment horizontal="center"/>
    </xf>
    <xf numFmtId="4" fontId="10" fillId="0" borderId="24" xfId="0" applyNumberFormat="1" applyFont="1" applyFill="1" applyBorder="1" applyAlignment="1">
      <alignment horizontal="center"/>
    </xf>
    <xf numFmtId="2" fontId="6" fillId="0" borderId="24" xfId="0" applyNumberFormat="1" applyFont="1" applyFill="1" applyBorder="1" applyAlignment="1">
      <alignment horizontal="center"/>
    </xf>
    <xf numFmtId="165" fontId="11" fillId="0" borderId="24" xfId="1" applyNumberFormat="1" applyFont="1" applyFill="1" applyBorder="1" applyAlignment="1">
      <alignment horizontal="center"/>
    </xf>
    <xf numFmtId="166" fontId="11" fillId="0" borderId="24" xfId="1" applyNumberFormat="1" applyFont="1" applyFill="1" applyBorder="1" applyAlignment="1">
      <alignment horizontal="center"/>
    </xf>
    <xf numFmtId="1" fontId="11" fillId="0" borderId="24" xfId="0" applyNumberFormat="1" applyFont="1" applyFill="1" applyBorder="1" applyAlignment="1">
      <alignment horizontal="center"/>
    </xf>
    <xf numFmtId="164" fontId="11" fillId="0" borderId="24" xfId="0" applyNumberFormat="1" applyFont="1" applyFill="1" applyBorder="1" applyAlignment="1">
      <alignment horizontal="center"/>
    </xf>
    <xf numFmtId="164" fontId="11" fillId="0" borderId="25" xfId="0" applyNumberFormat="1" applyFont="1" applyFill="1" applyBorder="1" applyAlignment="1">
      <alignment horizontal="center"/>
    </xf>
    <xf numFmtId="164" fontId="3" fillId="0" borderId="0" xfId="0" applyNumberFormat="1" applyFont="1" applyFill="1"/>
    <xf numFmtId="2" fontId="5" fillId="0" borderId="0" xfId="0" applyNumberFormat="1" applyFont="1" applyFill="1" applyAlignment="1">
      <alignment horizontal="center"/>
    </xf>
    <xf numFmtId="2" fontId="3" fillId="0" borderId="0" xfId="0" applyNumberFormat="1" applyFont="1" applyFill="1" applyAlignment="1">
      <alignment horizontal="center"/>
    </xf>
    <xf numFmtId="0" fontId="5" fillId="0" borderId="0" xfId="0" applyFont="1" applyFill="1" applyAlignment="1">
      <alignment horizontal="center"/>
    </xf>
    <xf numFmtId="0" fontId="9" fillId="0" borderId="0" xfId="0" applyFont="1" applyFill="1" applyAlignment="1">
      <alignment horizontal="center"/>
    </xf>
    <xf numFmtId="164" fontId="3" fillId="0" borderId="0" xfId="0" applyNumberFormat="1" applyFont="1" applyFill="1" applyAlignment="1">
      <alignment horizontal="center"/>
    </xf>
    <xf numFmtId="0" fontId="6" fillId="0" borderId="26" xfId="0" applyFont="1" applyFill="1" applyBorder="1"/>
    <xf numFmtId="0" fontId="3" fillId="0" borderId="27" xfId="0" applyFont="1" applyFill="1" applyBorder="1"/>
    <xf numFmtId="0" fontId="3" fillId="0" borderId="27" xfId="0" applyFont="1" applyFill="1" applyBorder="1" applyAlignment="1">
      <alignment horizontal="center"/>
    </xf>
    <xf numFmtId="0" fontId="5" fillId="0" borderId="27" xfId="0" applyFont="1" applyFill="1" applyBorder="1" applyAlignment="1">
      <alignment horizontal="center"/>
    </xf>
    <xf numFmtId="0" fontId="9" fillId="0" borderId="27" xfId="0" applyFont="1" applyFill="1" applyBorder="1" applyAlignment="1">
      <alignment horizontal="center"/>
    </xf>
    <xf numFmtId="164" fontId="3" fillId="0" borderId="27" xfId="0" applyNumberFormat="1" applyFont="1" applyFill="1" applyBorder="1" applyAlignment="1">
      <alignment horizontal="center"/>
    </xf>
    <xf numFmtId="164" fontId="3" fillId="0" borderId="28" xfId="0" applyNumberFormat="1" applyFont="1" applyFill="1" applyBorder="1" applyAlignment="1">
      <alignment horizontal="center"/>
    </xf>
    <xf numFmtId="0" fontId="9" fillId="0" borderId="1" xfId="0" applyFont="1" applyFill="1" applyBorder="1"/>
    <xf numFmtId="2" fontId="5" fillId="0" borderId="2" xfId="0" applyNumberFormat="1" applyFont="1" applyFill="1" applyBorder="1" applyAlignment="1">
      <alignment horizontal="center"/>
    </xf>
    <xf numFmtId="2" fontId="3" fillId="0" borderId="2" xfId="0" applyNumberFormat="1" applyFont="1" applyFill="1" applyBorder="1" applyAlignment="1">
      <alignment horizontal="center"/>
    </xf>
    <xf numFmtId="2" fontId="5" fillId="0" borderId="2" xfId="0" applyNumberFormat="1" applyFont="1" applyFill="1" applyBorder="1" applyAlignment="1">
      <alignment horizontal="right"/>
    </xf>
    <xf numFmtId="0" fontId="3" fillId="0" borderId="29" xfId="0" applyFont="1" applyFill="1" applyBorder="1" applyAlignment="1">
      <alignment horizontal="center"/>
    </xf>
    <xf numFmtId="164" fontId="3" fillId="0" borderId="2" xfId="0" applyNumberFormat="1" applyFont="1" applyFill="1" applyBorder="1" applyAlignment="1">
      <alignment horizontal="center"/>
    </xf>
    <xf numFmtId="164" fontId="3" fillId="0" borderId="18" xfId="0" applyNumberFormat="1" applyFont="1" applyFill="1" applyBorder="1" applyAlignment="1">
      <alignment horizontal="center"/>
    </xf>
    <xf numFmtId="0" fontId="9" fillId="0" borderId="6" xfId="0" applyFont="1" applyFill="1" applyBorder="1"/>
    <xf numFmtId="0" fontId="0" fillId="0" borderId="7" xfId="0" applyFill="1" applyBorder="1" applyAlignment="1">
      <alignment horizontal="center"/>
    </xf>
    <xf numFmtId="43" fontId="5" fillId="0" borderId="7" xfId="1" applyFont="1" applyFill="1" applyBorder="1" applyAlignment="1">
      <alignment horizontal="right"/>
    </xf>
    <xf numFmtId="0" fontId="0" fillId="0" borderId="7" xfId="0" applyBorder="1" applyAlignment="1">
      <alignment horizontal="center"/>
    </xf>
    <xf numFmtId="2" fontId="5" fillId="0" borderId="7" xfId="0" applyNumberFormat="1" applyFont="1" applyFill="1" applyBorder="1" applyAlignment="1">
      <alignment horizontal="right"/>
    </xf>
    <xf numFmtId="0" fontId="9" fillId="0" borderId="12" xfId="0" applyFont="1" applyFill="1" applyBorder="1" applyAlignment="1">
      <alignment wrapText="1"/>
    </xf>
    <xf numFmtId="0" fontId="3" fillId="0" borderId="13" xfId="0" applyFont="1" applyFill="1" applyBorder="1"/>
    <xf numFmtId="0" fontId="3" fillId="0" borderId="13" xfId="0" applyFont="1" applyFill="1" applyBorder="1" applyAlignment="1">
      <alignment horizontal="center"/>
    </xf>
    <xf numFmtId="0" fontId="0" fillId="0" borderId="13" xfId="0" applyFill="1" applyBorder="1" applyAlignment="1">
      <alignment horizontal="center"/>
    </xf>
    <xf numFmtId="2" fontId="5" fillId="0" borderId="13" xfId="0" applyNumberFormat="1" applyFont="1" applyFill="1" applyBorder="1" applyAlignment="1">
      <alignment horizontal="center"/>
    </xf>
    <xf numFmtId="2" fontId="3" fillId="0" borderId="13" xfId="0" applyNumberFormat="1" applyFont="1" applyFill="1" applyBorder="1" applyAlignment="1">
      <alignment horizontal="center"/>
    </xf>
    <xf numFmtId="2" fontId="5" fillId="0" borderId="13" xfId="0" applyNumberFormat="1" applyFont="1" applyFill="1" applyBorder="1" applyAlignment="1">
      <alignment horizontal="right"/>
    </xf>
    <xf numFmtId="0" fontId="0" fillId="0" borderId="13" xfId="0" applyBorder="1" applyAlignment="1">
      <alignment horizontal="center"/>
    </xf>
    <xf numFmtId="164" fontId="3" fillId="0" borderId="13" xfId="0" applyNumberFormat="1" applyFont="1" applyFill="1" applyBorder="1" applyAlignment="1">
      <alignment horizontal="center"/>
    </xf>
    <xf numFmtId="164" fontId="3" fillId="0" borderId="15" xfId="0" applyNumberFormat="1" applyFont="1" applyFill="1" applyBorder="1" applyAlignment="1">
      <alignment horizontal="center"/>
    </xf>
    <xf numFmtId="0" fontId="3" fillId="0" borderId="16" xfId="0" applyFont="1" applyFill="1" applyBorder="1"/>
    <xf numFmtId="164" fontId="5" fillId="0" borderId="0" xfId="0" applyNumberFormat="1" applyFont="1" applyFill="1" applyBorder="1" applyAlignment="1">
      <alignment horizontal="right"/>
    </xf>
    <xf numFmtId="0" fontId="6" fillId="0" borderId="30" xfId="0" applyFont="1" applyFill="1" applyBorder="1"/>
    <xf numFmtId="0" fontId="3" fillId="0" borderId="31" xfId="0" applyFont="1" applyFill="1" applyBorder="1"/>
    <xf numFmtId="0" fontId="6" fillId="0" borderId="31" xfId="0" applyFont="1" applyFill="1" applyBorder="1" applyAlignment="1">
      <alignment horizontal="center"/>
    </xf>
    <xf numFmtId="2" fontId="10" fillId="0" borderId="31" xfId="0" applyNumberFormat="1" applyFont="1" applyFill="1" applyBorder="1" applyAlignment="1">
      <alignment horizontal="center"/>
    </xf>
    <xf numFmtId="2" fontId="6" fillId="0" borderId="31" xfId="0" applyNumberFormat="1" applyFont="1" applyFill="1" applyBorder="1" applyAlignment="1">
      <alignment horizontal="center"/>
    </xf>
    <xf numFmtId="43" fontId="6" fillId="0" borderId="31" xfId="1" applyFont="1" applyFill="1" applyBorder="1" applyAlignment="1">
      <alignment horizontal="center"/>
    </xf>
    <xf numFmtId="1" fontId="6" fillId="0" borderId="31" xfId="0" applyNumberFormat="1" applyFont="1" applyFill="1" applyBorder="1" applyAlignment="1">
      <alignment horizontal="center"/>
    </xf>
    <xf numFmtId="164" fontId="11" fillId="0" borderId="31" xfId="0" applyNumberFormat="1" applyFont="1" applyFill="1" applyBorder="1" applyAlignment="1">
      <alignment horizontal="center"/>
    </xf>
    <xf numFmtId="164" fontId="11" fillId="0" borderId="32" xfId="0" applyNumberFormat="1" applyFont="1" applyFill="1" applyBorder="1" applyAlignment="1">
      <alignment horizontal="center"/>
    </xf>
    <xf numFmtId="164" fontId="11" fillId="0" borderId="0" xfId="0" applyNumberFormat="1" applyFont="1" applyFill="1" applyAlignment="1">
      <alignment horizontal="center"/>
    </xf>
    <xf numFmtId="164" fontId="11" fillId="0" borderId="0" xfId="0" applyNumberFormat="1" applyFont="1" applyFill="1" applyBorder="1" applyAlignment="1">
      <alignment horizontal="center"/>
    </xf>
    <xf numFmtId="3" fontId="6" fillId="0" borderId="31" xfId="0" applyNumberFormat="1" applyFont="1" applyFill="1" applyBorder="1" applyAlignment="1">
      <alignment horizontal="center"/>
    </xf>
    <xf numFmtId="4" fontId="10" fillId="0" borderId="31" xfId="0" applyNumberFormat="1" applyFont="1" applyFill="1" applyBorder="1" applyAlignment="1">
      <alignment horizontal="center"/>
    </xf>
    <xf numFmtId="3" fontId="10" fillId="0" borderId="31" xfId="0" applyNumberFormat="1" applyFont="1" applyFill="1" applyBorder="1" applyAlignment="1">
      <alignment horizontal="center"/>
    </xf>
    <xf numFmtId="0" fontId="9" fillId="0" borderId="33" xfId="0" applyFont="1" applyFill="1" applyBorder="1"/>
    <xf numFmtId="0" fontId="9" fillId="0" borderId="34" xfId="0" applyFont="1" applyFill="1" applyBorder="1"/>
    <xf numFmtId="0" fontId="9" fillId="0" borderId="34" xfId="0" applyFont="1" applyFill="1" applyBorder="1" applyAlignment="1">
      <alignment horizontal="center"/>
    </xf>
    <xf numFmtId="0" fontId="9" fillId="0" borderId="35" xfId="0" applyFont="1" applyFill="1" applyBorder="1" applyAlignment="1">
      <alignment horizontal="center"/>
    </xf>
    <xf numFmtId="0" fontId="9" fillId="0" borderId="36" xfId="0" applyFont="1" applyFill="1" applyBorder="1" applyAlignment="1">
      <alignment horizontal="left"/>
    </xf>
    <xf numFmtId="0" fontId="9" fillId="0" borderId="0" xfId="0" applyFont="1" applyFill="1" applyBorder="1" applyAlignment="1">
      <alignment horizontal="left"/>
    </xf>
    <xf numFmtId="0" fontId="9" fillId="0" borderId="37" xfId="0" applyFont="1" applyFill="1" applyBorder="1" applyAlignment="1">
      <alignment horizontal="left"/>
    </xf>
    <xf numFmtId="0" fontId="9" fillId="0" borderId="36" xfId="0" applyFont="1" applyFill="1" applyBorder="1"/>
    <xf numFmtId="0" fontId="9" fillId="0" borderId="0" xfId="0" applyFont="1" applyFill="1" applyBorder="1"/>
    <xf numFmtId="0" fontId="9" fillId="0" borderId="37" xfId="0" applyFont="1" applyFill="1" applyBorder="1" applyAlignment="1">
      <alignment horizontal="center"/>
    </xf>
    <xf numFmtId="0" fontId="3" fillId="0" borderId="38" xfId="0" applyFont="1" applyFill="1" applyBorder="1"/>
    <xf numFmtId="0" fontId="3" fillId="0" borderId="39" xfId="0" applyFont="1" applyFill="1" applyBorder="1"/>
    <xf numFmtId="0" fontId="3" fillId="0" borderId="39" xfId="0" applyFont="1" applyFill="1" applyBorder="1" applyAlignment="1">
      <alignment horizontal="center"/>
    </xf>
    <xf numFmtId="0" fontId="3" fillId="0" borderId="40" xfId="0" applyFont="1" applyFill="1" applyBorder="1" applyAlignment="1">
      <alignment horizontal="center"/>
    </xf>
    <xf numFmtId="14" fontId="13" fillId="0" borderId="0" xfId="0" applyNumberFormat="1" applyFont="1" applyFill="1" applyAlignment="1">
      <alignment horizontal="left"/>
    </xf>
    <xf numFmtId="0" fontId="6" fillId="0" borderId="0" xfId="0" applyFont="1" applyFill="1"/>
    <xf numFmtId="0" fontId="3" fillId="0" borderId="0" xfId="0" applyFont="1" applyFill="1" applyAlignment="1">
      <alignment horizontal="center" wrapText="1"/>
    </xf>
    <xf numFmtId="164" fontId="9" fillId="0" borderId="6" xfId="0" applyNumberFormat="1" applyFont="1" applyBorder="1"/>
    <xf numFmtId="0" fontId="3" fillId="0" borderId="19" xfId="0" applyFont="1" applyBorder="1" applyAlignment="1">
      <alignment horizontal="center"/>
    </xf>
    <xf numFmtId="2" fontId="5" fillId="0" borderId="19" xfId="0" applyNumberFormat="1" applyFont="1" applyBorder="1" applyAlignment="1">
      <alignment horizontal="center"/>
    </xf>
    <xf numFmtId="2" fontId="3" fillId="0" borderId="19" xfId="0" applyNumberFormat="1" applyFont="1" applyBorder="1" applyAlignment="1">
      <alignment horizontal="center"/>
    </xf>
    <xf numFmtId="165" fontId="5" fillId="0" borderId="19" xfId="0" applyNumberFormat="1" applyFont="1" applyBorder="1" applyAlignment="1">
      <alignment horizontal="center"/>
    </xf>
    <xf numFmtId="164" fontId="3" fillId="0" borderId="19" xfId="0" applyNumberFormat="1" applyFont="1" applyBorder="1" applyAlignment="1">
      <alignment horizontal="center"/>
    </xf>
    <xf numFmtId="164" fontId="3" fillId="0" borderId="10" xfId="0" applyNumberFormat="1" applyFont="1" applyBorder="1" applyAlignment="1">
      <alignment horizontal="center"/>
    </xf>
    <xf numFmtId="164" fontId="9" fillId="0" borderId="12" xfId="0" applyNumberFormat="1" applyFont="1" applyFill="1" applyBorder="1"/>
    <xf numFmtId="165" fontId="5" fillId="0" borderId="13" xfId="1" applyNumberFormat="1" applyFont="1" applyFill="1" applyBorder="1" applyAlignment="1">
      <alignment horizontal="center"/>
    </xf>
    <xf numFmtId="0" fontId="9" fillId="0" borderId="0" xfId="0" applyFont="1" applyFill="1" applyBorder="1" applyAlignment="1">
      <alignment horizontal="left" wrapText="1"/>
    </xf>
    <xf numFmtId="0" fontId="9" fillId="0" borderId="37" xfId="0" applyFont="1" applyFill="1" applyBorder="1" applyAlignment="1">
      <alignment horizontal="left" wrapText="1"/>
    </xf>
    <xf numFmtId="14" fontId="5" fillId="0" borderId="0" xfId="0" applyNumberFormat="1" applyFont="1" applyFill="1" applyAlignment="1">
      <alignment horizontal="left"/>
    </xf>
    <xf numFmtId="2" fontId="2" fillId="0" borderId="0" xfId="0" applyNumberFormat="1" applyFont="1" applyFill="1" applyAlignment="1">
      <alignment horizontal="left"/>
    </xf>
    <xf numFmtId="2" fontId="3" fillId="0" borderId="0" xfId="0" applyNumberFormat="1" applyFont="1" applyFill="1"/>
    <xf numFmtId="2" fontId="4" fillId="0" borderId="0" xfId="0" applyNumberFormat="1" applyFont="1" applyFill="1"/>
    <xf numFmtId="2" fontId="5" fillId="2" borderId="0" xfId="0" applyNumberFormat="1" applyFont="1" applyFill="1" applyAlignment="1">
      <alignment horizontal="left"/>
    </xf>
    <xf numFmtId="2" fontId="3" fillId="2" borderId="1" xfId="0" applyNumberFormat="1" applyFont="1" applyFill="1" applyBorder="1"/>
    <xf numFmtId="2" fontId="14" fillId="0" borderId="2" xfId="0" applyNumberFormat="1" applyFont="1" applyFill="1" applyBorder="1"/>
    <xf numFmtId="2" fontId="3" fillId="0" borderId="2" xfId="0" applyNumberFormat="1" applyFont="1" applyFill="1" applyBorder="1"/>
    <xf numFmtId="2" fontId="3" fillId="0" borderId="3" xfId="0" applyNumberFormat="1" applyFont="1" applyFill="1" applyBorder="1" applyAlignment="1">
      <alignment horizontal="center"/>
    </xf>
    <xf numFmtId="2" fontId="5" fillId="0" borderId="0" xfId="0" applyNumberFormat="1" applyFont="1" applyFill="1" applyAlignment="1">
      <alignment horizontal="left" wrapText="1"/>
    </xf>
    <xf numFmtId="2" fontId="3" fillId="0" borderId="6" xfId="0" applyNumberFormat="1" applyFont="1" applyFill="1" applyBorder="1"/>
    <xf numFmtId="2" fontId="3" fillId="0" borderId="7" xfId="0" applyNumberFormat="1" applyFont="1" applyFill="1" applyBorder="1"/>
    <xf numFmtId="2" fontId="7" fillId="0" borderId="7" xfId="0" applyNumberFormat="1" applyFont="1" applyFill="1" applyBorder="1" applyAlignment="1">
      <alignment horizontal="center"/>
    </xf>
    <xf numFmtId="2" fontId="5" fillId="0" borderId="0" xfId="0" applyNumberFormat="1" applyFont="1" applyFill="1"/>
    <xf numFmtId="2" fontId="5" fillId="0" borderId="6" xfId="0" applyNumberFormat="1" applyFont="1" applyFill="1" applyBorder="1"/>
    <xf numFmtId="2" fontId="5" fillId="0" borderId="8" xfId="0" applyNumberFormat="1" applyFont="1" applyFill="1" applyBorder="1" applyAlignment="1">
      <alignment horizontal="center"/>
    </xf>
    <xf numFmtId="2" fontId="5" fillId="0" borderId="11" xfId="0" applyNumberFormat="1" applyFont="1" applyFill="1" applyBorder="1" applyAlignment="1">
      <alignment horizontal="center"/>
    </xf>
    <xf numFmtId="2" fontId="5" fillId="0" borderId="7" xfId="0" applyNumberFormat="1" applyFont="1" applyFill="1" applyBorder="1"/>
    <xf numFmtId="2" fontId="5" fillId="0" borderId="12" xfId="0" applyNumberFormat="1" applyFont="1" applyFill="1" applyBorder="1" applyAlignment="1">
      <alignment horizontal="left"/>
    </xf>
    <xf numFmtId="2" fontId="5" fillId="0" borderId="14" xfId="0" applyNumberFormat="1" applyFont="1" applyFill="1" applyBorder="1" applyAlignment="1">
      <alignment horizontal="center"/>
    </xf>
    <xf numFmtId="2" fontId="5" fillId="0" borderId="15" xfId="0" applyNumberFormat="1" applyFont="1" applyFill="1" applyBorder="1" applyAlignment="1">
      <alignment horizontal="center"/>
    </xf>
    <xf numFmtId="2" fontId="12" fillId="0" borderId="16" xfId="0" applyNumberFormat="1" applyFont="1" applyFill="1" applyBorder="1"/>
    <xf numFmtId="2" fontId="12" fillId="0" borderId="0" xfId="0" applyNumberFormat="1" applyFont="1" applyFill="1" applyBorder="1"/>
    <xf numFmtId="2" fontId="12" fillId="0" borderId="0" xfId="0" applyNumberFormat="1" applyFont="1"/>
    <xf numFmtId="2" fontId="3" fillId="0" borderId="1" xfId="0" applyNumberFormat="1" applyFont="1" applyFill="1" applyBorder="1" applyAlignment="1">
      <alignment horizontal="center" vertical="center"/>
    </xf>
    <xf numFmtId="2" fontId="8" fillId="0" borderId="2" xfId="0" applyNumberFormat="1" applyFont="1" applyFill="1" applyBorder="1" applyAlignment="1">
      <alignment horizontal="center"/>
    </xf>
    <xf numFmtId="2" fontId="8" fillId="0" borderId="2" xfId="0" applyNumberFormat="1" applyFont="1" applyFill="1" applyBorder="1" applyAlignment="1">
      <alignment horizontal="center" wrapText="1"/>
    </xf>
    <xf numFmtId="2" fontId="3" fillId="0" borderId="18" xfId="0" applyNumberFormat="1" applyFont="1" applyFill="1" applyBorder="1" applyAlignment="1">
      <alignment horizontal="center"/>
    </xf>
    <xf numFmtId="2" fontId="6" fillId="0" borderId="6" xfId="0" applyNumberFormat="1" applyFont="1" applyFill="1" applyBorder="1"/>
    <xf numFmtId="2" fontId="3" fillId="0" borderId="11" xfId="0" applyNumberFormat="1" applyFont="1" applyFill="1" applyBorder="1" applyAlignment="1">
      <alignment horizontal="center"/>
    </xf>
    <xf numFmtId="2" fontId="9" fillId="0" borderId="6" xfId="0" applyNumberFormat="1" applyFont="1" applyFill="1" applyBorder="1"/>
    <xf numFmtId="2" fontId="5" fillId="0" borderId="7" xfId="1" applyNumberFormat="1" applyFont="1" applyFill="1" applyBorder="1" applyAlignment="1">
      <alignment horizontal="center"/>
    </xf>
    <xf numFmtId="2" fontId="0" fillId="0" borderId="7" xfId="0" applyNumberFormat="1" applyFill="1" applyBorder="1" applyAlignment="1">
      <alignment horizontal="center"/>
    </xf>
    <xf numFmtId="2" fontId="9" fillId="0" borderId="20" xfId="0" applyNumberFormat="1" applyFont="1" applyFill="1" applyBorder="1"/>
    <xf numFmtId="2" fontId="3" fillId="0" borderId="22" xfId="0" applyNumberFormat="1" applyFont="1" applyFill="1" applyBorder="1" applyAlignment="1">
      <alignment horizontal="center"/>
    </xf>
    <xf numFmtId="2" fontId="3" fillId="0" borderId="16" xfId="0" applyNumberFormat="1" applyFont="1" applyFill="1" applyBorder="1"/>
    <xf numFmtId="2" fontId="3" fillId="0" borderId="0" xfId="0" applyNumberFormat="1" applyFont="1" applyFill="1" applyBorder="1"/>
    <xf numFmtId="2" fontId="5" fillId="0" borderId="0" xfId="1" applyNumberFormat="1" applyFont="1" applyFill="1" applyBorder="1" applyAlignment="1">
      <alignment horizontal="center"/>
    </xf>
    <xf numFmtId="2" fontId="9" fillId="0" borderId="0" xfId="0" applyNumberFormat="1" applyFont="1" applyFill="1" applyBorder="1" applyAlignment="1">
      <alignment horizontal="center"/>
    </xf>
    <xf numFmtId="2" fontId="3" fillId="0" borderId="17" xfId="0" applyNumberFormat="1" applyFont="1" applyFill="1" applyBorder="1" applyAlignment="1">
      <alignment horizontal="center"/>
    </xf>
    <xf numFmtId="2" fontId="6" fillId="0" borderId="23" xfId="0" applyNumberFormat="1" applyFont="1" applyFill="1" applyBorder="1"/>
    <xf numFmtId="2" fontId="3" fillId="0" borderId="24" xfId="0" applyNumberFormat="1" applyFont="1" applyFill="1" applyBorder="1"/>
    <xf numFmtId="2" fontId="10" fillId="0" borderId="24" xfId="0" applyNumberFormat="1" applyFont="1" applyFill="1" applyBorder="1" applyAlignment="1">
      <alignment horizontal="center"/>
    </xf>
    <xf numFmtId="2" fontId="11" fillId="0" borderId="24" xfId="1" applyNumberFormat="1" applyFont="1" applyFill="1" applyBorder="1" applyAlignment="1">
      <alignment horizontal="center"/>
    </xf>
    <xf numFmtId="2" fontId="11" fillId="0" borderId="24" xfId="0" applyNumberFormat="1" applyFont="1" applyFill="1" applyBorder="1" applyAlignment="1">
      <alignment horizontal="center"/>
    </xf>
    <xf numFmtId="2" fontId="11" fillId="0" borderId="25" xfId="0" applyNumberFormat="1" applyFont="1" applyFill="1" applyBorder="1" applyAlignment="1">
      <alignment horizontal="center"/>
    </xf>
    <xf numFmtId="2" fontId="9" fillId="0" borderId="0" xfId="0" applyNumberFormat="1" applyFont="1" applyFill="1" applyAlignment="1">
      <alignment horizontal="center"/>
    </xf>
    <xf numFmtId="2" fontId="6" fillId="0" borderId="26" xfId="0" applyNumberFormat="1" applyFont="1" applyFill="1" applyBorder="1"/>
    <xf numFmtId="2" fontId="3" fillId="0" borderId="27" xfId="0" applyNumberFormat="1" applyFont="1" applyFill="1" applyBorder="1"/>
    <xf numFmtId="2" fontId="3" fillId="0" borderId="27" xfId="0" applyNumberFormat="1" applyFont="1" applyFill="1" applyBorder="1" applyAlignment="1">
      <alignment horizontal="center"/>
    </xf>
    <xf numFmtId="2" fontId="5" fillId="0" borderId="27" xfId="0" applyNumberFormat="1" applyFont="1" applyFill="1" applyBorder="1" applyAlignment="1">
      <alignment horizontal="center"/>
    </xf>
    <xf numFmtId="2" fontId="9" fillId="0" borderId="27" xfId="0" applyNumberFormat="1" applyFont="1" applyFill="1" applyBorder="1" applyAlignment="1">
      <alignment horizontal="center"/>
    </xf>
    <xf numFmtId="2" fontId="3" fillId="0" borderId="28" xfId="0" applyNumberFormat="1" applyFont="1" applyFill="1" applyBorder="1" applyAlignment="1">
      <alignment horizontal="center"/>
    </xf>
    <xf numFmtId="2" fontId="9" fillId="0" borderId="1" xfId="0" applyNumberFormat="1" applyFont="1" applyFill="1" applyBorder="1"/>
    <xf numFmtId="2" fontId="3" fillId="0" borderId="29" xfId="0" applyNumberFormat="1" applyFont="1" applyFill="1" applyBorder="1" applyAlignment="1">
      <alignment horizontal="center"/>
    </xf>
    <xf numFmtId="2" fontId="5" fillId="0" borderId="7" xfId="1" applyNumberFormat="1" applyFont="1" applyFill="1" applyBorder="1" applyAlignment="1">
      <alignment horizontal="right"/>
    </xf>
    <xf numFmtId="2" fontId="0" fillId="0" borderId="7" xfId="0" applyNumberFormat="1" applyBorder="1" applyAlignment="1">
      <alignment horizontal="center"/>
    </xf>
    <xf numFmtId="2" fontId="9" fillId="0" borderId="12" xfId="0" applyNumberFormat="1" applyFont="1" applyFill="1" applyBorder="1" applyAlignment="1">
      <alignment wrapText="1"/>
    </xf>
    <xf numFmtId="2" fontId="3" fillId="0" borderId="13" xfId="0" applyNumberFormat="1" applyFont="1" applyFill="1" applyBorder="1"/>
    <xf numFmtId="2" fontId="0" fillId="0" borderId="13" xfId="0" applyNumberFormat="1" applyFill="1" applyBorder="1" applyAlignment="1">
      <alignment horizontal="center"/>
    </xf>
    <xf numFmtId="2" fontId="0" fillId="0" borderId="13" xfId="0" applyNumberFormat="1" applyBorder="1" applyAlignment="1">
      <alignment horizontal="center"/>
    </xf>
    <xf numFmtId="2" fontId="3" fillId="0" borderId="15" xfId="0" applyNumberFormat="1" applyFont="1" applyFill="1" applyBorder="1" applyAlignment="1">
      <alignment horizontal="center"/>
    </xf>
    <xf numFmtId="2" fontId="5" fillId="0" borderId="0" xfId="0" applyNumberFormat="1" applyFont="1" applyFill="1" applyBorder="1" applyAlignment="1">
      <alignment horizontal="right"/>
    </xf>
    <xf numFmtId="2" fontId="6" fillId="0" borderId="30" xfId="0" applyNumberFormat="1" applyFont="1" applyFill="1" applyBorder="1"/>
    <xf numFmtId="2" fontId="3" fillId="0" borderId="31" xfId="0" applyNumberFormat="1" applyFont="1" applyFill="1" applyBorder="1"/>
    <xf numFmtId="2" fontId="6" fillId="0" borderId="31" xfId="1" applyNumberFormat="1" applyFont="1" applyFill="1" applyBorder="1" applyAlignment="1">
      <alignment horizontal="center"/>
    </xf>
    <xf numFmtId="2" fontId="11" fillId="0" borderId="31" xfId="0" applyNumberFormat="1" applyFont="1" applyFill="1" applyBorder="1" applyAlignment="1">
      <alignment horizontal="center"/>
    </xf>
    <xf numFmtId="2" fontId="11" fillId="0" borderId="32" xfId="0" applyNumberFormat="1" applyFont="1" applyFill="1" applyBorder="1" applyAlignment="1">
      <alignment horizontal="center"/>
    </xf>
    <xf numFmtId="2" fontId="11" fillId="0" borderId="0" xfId="0" applyNumberFormat="1" applyFont="1" applyFill="1" applyAlignment="1">
      <alignment horizontal="center"/>
    </xf>
    <xf numFmtId="2" fontId="11" fillId="0" borderId="0" xfId="0" applyNumberFormat="1" applyFont="1" applyFill="1" applyBorder="1" applyAlignment="1">
      <alignment horizontal="center"/>
    </xf>
    <xf numFmtId="2" fontId="9" fillId="0" borderId="33" xfId="0" applyNumberFormat="1" applyFont="1" applyFill="1" applyBorder="1"/>
    <xf numFmtId="2" fontId="9" fillId="0" borderId="34" xfId="0" applyNumberFormat="1" applyFont="1" applyFill="1" applyBorder="1"/>
    <xf numFmtId="2" fontId="9" fillId="0" borderId="34" xfId="0" applyNumberFormat="1" applyFont="1" applyFill="1" applyBorder="1" applyAlignment="1">
      <alignment horizontal="center"/>
    </xf>
    <xf numFmtId="2" fontId="9" fillId="0" borderId="35" xfId="0" applyNumberFormat="1" applyFont="1" applyFill="1" applyBorder="1" applyAlignment="1">
      <alignment horizontal="center"/>
    </xf>
    <xf numFmtId="2" fontId="9" fillId="0" borderId="36" xfId="0" applyNumberFormat="1" applyFont="1" applyFill="1" applyBorder="1" applyAlignment="1">
      <alignment horizontal="left"/>
    </xf>
    <xf numFmtId="2" fontId="9" fillId="0" borderId="0" xfId="0" applyNumberFormat="1" applyFont="1" applyFill="1" applyBorder="1" applyAlignment="1">
      <alignment horizontal="left"/>
    </xf>
    <xf numFmtId="2" fontId="9" fillId="0" borderId="37" xfId="0" applyNumberFormat="1" applyFont="1" applyFill="1" applyBorder="1" applyAlignment="1">
      <alignment horizontal="left"/>
    </xf>
    <xf numFmtId="2" fontId="9" fillId="0" borderId="36" xfId="0" applyNumberFormat="1" applyFont="1" applyFill="1" applyBorder="1"/>
    <xf numFmtId="2" fontId="9" fillId="0" borderId="0" xfId="0" applyNumberFormat="1" applyFont="1" applyFill="1" applyBorder="1"/>
    <xf numFmtId="2" fontId="9" fillId="0" borderId="37" xfId="0" applyNumberFormat="1" applyFont="1" applyFill="1" applyBorder="1" applyAlignment="1">
      <alignment horizontal="center"/>
    </xf>
    <xf numFmtId="2" fontId="0" fillId="0" borderId="0" xfId="0" applyNumberFormat="1"/>
    <xf numFmtId="0" fontId="0" fillId="0" borderId="0" xfId="0" applyBorder="1" applyAlignment="1">
      <alignment vertical="center" wrapText="1"/>
    </xf>
    <xf numFmtId="2" fontId="9" fillId="0" borderId="0" xfId="0" applyNumberFormat="1" applyFont="1" applyFill="1" applyBorder="1" applyAlignment="1">
      <alignment horizontal="left" wrapText="1"/>
    </xf>
    <xf numFmtId="2" fontId="9" fillId="0" borderId="37" xfId="0" applyNumberFormat="1" applyFont="1" applyFill="1" applyBorder="1" applyAlignment="1">
      <alignment horizontal="left" wrapText="1"/>
    </xf>
    <xf numFmtId="4" fontId="11" fillId="0" borderId="24" xfId="1" applyNumberFormat="1" applyFont="1" applyFill="1" applyBorder="1" applyAlignment="1">
      <alignment horizontal="center"/>
    </xf>
    <xf numFmtId="2" fontId="9" fillId="0" borderId="16" xfId="0" applyNumberFormat="1" applyFont="1" applyFill="1" applyBorder="1"/>
    <xf numFmtId="2" fontId="16" fillId="0" borderId="7" xfId="0" applyNumberFormat="1" applyFont="1" applyFill="1" applyBorder="1" applyAlignment="1">
      <alignment horizontal="center"/>
    </xf>
    <xf numFmtId="2" fontId="3" fillId="0" borderId="41" xfId="0" applyNumberFormat="1" applyFont="1" applyFill="1" applyBorder="1" applyAlignment="1">
      <alignment horizontal="center"/>
    </xf>
    <xf numFmtId="2" fontId="9" fillId="0" borderId="36" xfId="0" applyNumberFormat="1" applyFont="1" applyFill="1" applyBorder="1" applyAlignment="1">
      <alignment horizontal="left" wrapText="1"/>
    </xf>
    <xf numFmtId="2" fontId="9" fillId="0" borderId="0" xfId="0" applyNumberFormat="1" applyFont="1" applyFill="1" applyBorder="1" applyAlignment="1">
      <alignment horizontal="left" wrapText="1"/>
    </xf>
    <xf numFmtId="2" fontId="9" fillId="0" borderId="37" xfId="0" applyNumberFormat="1" applyFont="1" applyFill="1" applyBorder="1" applyAlignment="1">
      <alignment horizontal="left" wrapText="1"/>
    </xf>
    <xf numFmtId="2" fontId="7" fillId="0" borderId="3" xfId="0" applyNumberFormat="1" applyFont="1" applyFill="1" applyBorder="1" applyAlignment="1">
      <alignment horizontal="center"/>
    </xf>
    <xf numFmtId="2" fontId="7" fillId="0" borderId="4" xfId="0" applyNumberFormat="1" applyFont="1" applyFill="1" applyBorder="1" applyAlignment="1">
      <alignment horizontal="center"/>
    </xf>
    <xf numFmtId="2" fontId="7" fillId="0" borderId="5" xfId="0" applyNumberFormat="1" applyFont="1" applyFill="1" applyBorder="1" applyAlignment="1">
      <alignment horizontal="center"/>
    </xf>
    <xf numFmtId="2" fontId="7" fillId="0" borderId="8" xfId="0" applyNumberFormat="1" applyFont="1" applyFill="1" applyBorder="1" applyAlignment="1">
      <alignment horizontal="center"/>
    </xf>
    <xf numFmtId="2" fontId="7" fillId="0" borderId="9" xfId="0" applyNumberFormat="1" applyFont="1" applyFill="1" applyBorder="1" applyAlignment="1">
      <alignment horizontal="center"/>
    </xf>
    <xf numFmtId="2" fontId="7" fillId="0" borderId="10" xfId="0" applyNumberFormat="1" applyFont="1" applyFill="1" applyBorder="1" applyAlignment="1">
      <alignment horizontal="center"/>
    </xf>
    <xf numFmtId="2" fontId="9" fillId="0" borderId="36" xfId="0" applyNumberFormat="1" applyFont="1" applyFill="1" applyBorder="1" applyAlignment="1">
      <alignment horizontal="left"/>
    </xf>
    <xf numFmtId="0" fontId="0" fillId="0" borderId="0" xfId="0" applyAlignment="1">
      <alignment horizontal="left"/>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9" fillId="0" borderId="36" xfId="0" applyFont="1" applyFill="1" applyBorder="1" applyAlignment="1">
      <alignment horizontal="left" wrapText="1"/>
    </xf>
    <xf numFmtId="0" fontId="9" fillId="0" borderId="0" xfId="0" applyFont="1" applyFill="1" applyBorder="1" applyAlignment="1">
      <alignment horizontal="left" wrapText="1"/>
    </xf>
    <xf numFmtId="0" fontId="9" fillId="0" borderId="37" xfId="0" applyFont="1" applyFill="1" applyBorder="1" applyAlignment="1">
      <alignment horizontal="left" wrapText="1"/>
    </xf>
  </cellXfs>
  <cellStyles count="2">
    <cellStyle name="Comma" xfId="1" builtinId="3"/>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55"/>
  <sheetViews>
    <sheetView tabSelected="1" zoomScale="150" zoomScaleNormal="150" zoomScalePageLayoutView="150" workbookViewId="0">
      <selection activeCell="D44" sqref="D44"/>
    </sheetView>
  </sheetViews>
  <sheetFormatPr baseColWidth="10" defaultRowHeight="15" x14ac:dyDescent="0"/>
  <cols>
    <col min="1" max="18" width="10.83203125" style="234"/>
  </cols>
  <sheetData>
    <row r="1" spans="1:21" ht="29" thickBot="1">
      <c r="A1" s="155"/>
      <c r="B1" s="155"/>
      <c r="C1" s="155"/>
      <c r="D1" s="155"/>
      <c r="E1" s="155"/>
      <c r="F1" s="156"/>
      <c r="G1" s="157" t="s">
        <v>106</v>
      </c>
      <c r="H1" s="156"/>
      <c r="I1" s="77"/>
      <c r="J1" s="77"/>
      <c r="K1" s="77"/>
      <c r="L1" s="77"/>
      <c r="M1" s="155"/>
      <c r="N1" s="155"/>
      <c r="O1" s="155"/>
      <c r="P1" s="155"/>
      <c r="Q1" s="155"/>
      <c r="R1" s="155"/>
    </row>
    <row r="2" spans="1:21">
      <c r="A2" s="158" t="s">
        <v>108</v>
      </c>
      <c r="B2" s="159"/>
      <c r="C2" s="160"/>
      <c r="D2" s="161"/>
      <c r="E2" s="161"/>
      <c r="F2" s="161"/>
      <c r="G2" s="161"/>
      <c r="H2" s="161"/>
      <c r="I2" s="90"/>
      <c r="J2" s="162"/>
      <c r="K2" s="245" t="s">
        <v>2</v>
      </c>
      <c r="L2" s="246"/>
      <c r="M2" s="246"/>
      <c r="N2" s="246"/>
      <c r="O2" s="246"/>
      <c r="P2" s="246"/>
      <c r="Q2" s="246"/>
      <c r="R2" s="247"/>
    </row>
    <row r="3" spans="1:21">
      <c r="A3" s="163"/>
      <c r="B3" s="164"/>
      <c r="C3" s="39"/>
      <c r="D3" s="165"/>
      <c r="E3" s="165"/>
      <c r="F3" s="165"/>
      <c r="G3" s="165"/>
      <c r="H3" s="39" t="s">
        <v>3</v>
      </c>
      <c r="I3" s="166" t="s">
        <v>4</v>
      </c>
      <c r="J3" s="39" t="s">
        <v>5</v>
      </c>
      <c r="K3" s="248" t="s">
        <v>107</v>
      </c>
      <c r="L3" s="249"/>
      <c r="M3" s="249"/>
      <c r="N3" s="249"/>
      <c r="O3" s="249"/>
      <c r="P3" s="249"/>
      <c r="Q3" s="249"/>
      <c r="R3" s="250"/>
    </row>
    <row r="4" spans="1:21">
      <c r="A4" s="167"/>
      <c r="B4" s="168"/>
      <c r="C4" s="39" t="s">
        <v>7</v>
      </c>
      <c r="D4" s="39" t="s">
        <v>8</v>
      </c>
      <c r="E4" s="39" t="s">
        <v>9</v>
      </c>
      <c r="F4" s="39" t="s">
        <v>10</v>
      </c>
      <c r="G4" s="39" t="s">
        <v>10</v>
      </c>
      <c r="H4" s="39" t="s">
        <v>11</v>
      </c>
      <c r="I4" s="39" t="s">
        <v>12</v>
      </c>
      <c r="J4" s="39" t="s">
        <v>13</v>
      </c>
      <c r="K4" s="39" t="s">
        <v>14</v>
      </c>
      <c r="L4" s="39" t="s">
        <v>14</v>
      </c>
      <c r="M4" s="39" t="s">
        <v>14</v>
      </c>
      <c r="N4" s="39" t="s">
        <v>14</v>
      </c>
      <c r="O4" s="39" t="s">
        <v>15</v>
      </c>
      <c r="P4" s="169" t="s">
        <v>16</v>
      </c>
      <c r="Q4" s="39" t="s">
        <v>17</v>
      </c>
      <c r="R4" s="170" t="s">
        <v>18</v>
      </c>
    </row>
    <row r="5" spans="1:21" ht="16" thickBot="1">
      <c r="A5" s="171" t="s">
        <v>19</v>
      </c>
      <c r="B5" s="172" t="s">
        <v>20</v>
      </c>
      <c r="C5" s="104" t="s">
        <v>21</v>
      </c>
      <c r="D5" s="104" t="s">
        <v>22</v>
      </c>
      <c r="E5" s="104" t="s">
        <v>23</v>
      </c>
      <c r="F5" s="104" t="s">
        <v>12</v>
      </c>
      <c r="G5" s="104" t="s">
        <v>24</v>
      </c>
      <c r="H5" s="104" t="s">
        <v>25</v>
      </c>
      <c r="I5" s="104" t="s">
        <v>26</v>
      </c>
      <c r="J5" s="39"/>
      <c r="K5" s="104" t="s">
        <v>27</v>
      </c>
      <c r="L5" s="104" t="s">
        <v>28</v>
      </c>
      <c r="M5" s="104" t="s">
        <v>29</v>
      </c>
      <c r="N5" s="104" t="s">
        <v>30</v>
      </c>
      <c r="O5" s="104" t="s">
        <v>31</v>
      </c>
      <c r="P5" s="173" t="s">
        <v>31</v>
      </c>
      <c r="Q5" s="104" t="s">
        <v>13</v>
      </c>
      <c r="R5" s="174" t="s">
        <v>32</v>
      </c>
    </row>
    <row r="6" spans="1:21" ht="16" thickBot="1">
      <c r="A6" s="175"/>
      <c r="B6" s="176"/>
      <c r="C6" s="176"/>
      <c r="D6" s="176"/>
      <c r="E6" s="176"/>
      <c r="F6" s="176"/>
      <c r="G6" s="176"/>
      <c r="H6" s="176"/>
      <c r="I6" s="176"/>
      <c r="J6" s="176"/>
      <c r="K6" s="176"/>
      <c r="L6" s="176"/>
      <c r="M6" s="176"/>
      <c r="N6" s="176"/>
      <c r="O6" s="176"/>
      <c r="P6" s="176"/>
      <c r="Q6" s="177"/>
      <c r="R6" s="177"/>
    </row>
    <row r="7" spans="1:21" ht="67">
      <c r="A7" s="178" t="s">
        <v>33</v>
      </c>
      <c r="B7" s="161"/>
      <c r="C7" s="179" t="s">
        <v>34</v>
      </c>
      <c r="D7" s="179" t="s">
        <v>34</v>
      </c>
      <c r="E7" s="179" t="s">
        <v>34</v>
      </c>
      <c r="F7" s="180" t="s">
        <v>35</v>
      </c>
      <c r="G7" s="90" t="s">
        <v>36</v>
      </c>
      <c r="H7" s="90" t="s">
        <v>36</v>
      </c>
      <c r="I7" s="180" t="s">
        <v>37</v>
      </c>
      <c r="J7" s="180"/>
      <c r="K7" s="90" t="s">
        <v>36</v>
      </c>
      <c r="L7" s="180" t="s">
        <v>38</v>
      </c>
      <c r="M7" s="180" t="s">
        <v>38</v>
      </c>
      <c r="N7" s="180" t="s">
        <v>38</v>
      </c>
      <c r="O7" s="90" t="s">
        <v>36</v>
      </c>
      <c r="P7" s="90" t="s">
        <v>36</v>
      </c>
      <c r="Q7" s="90" t="s">
        <v>36</v>
      </c>
      <c r="R7" s="181" t="s">
        <v>36</v>
      </c>
    </row>
    <row r="8" spans="1:21">
      <c r="A8" s="182" t="s">
        <v>39</v>
      </c>
      <c r="B8" s="165"/>
      <c r="C8" s="165"/>
      <c r="D8" s="165"/>
      <c r="E8" s="165"/>
      <c r="F8" s="165"/>
      <c r="G8" s="165"/>
      <c r="H8" s="165"/>
      <c r="I8" s="40"/>
      <c r="J8" s="40"/>
      <c r="K8" s="40"/>
      <c r="L8" s="40"/>
      <c r="M8" s="40"/>
      <c r="N8" s="165"/>
      <c r="O8" s="165"/>
      <c r="P8" s="165"/>
      <c r="Q8" s="40"/>
      <c r="R8" s="183"/>
    </row>
    <row r="9" spans="1:21">
      <c r="A9" s="184" t="s">
        <v>40</v>
      </c>
      <c r="B9" s="40" t="s">
        <v>41</v>
      </c>
      <c r="C9" s="40">
        <v>4.33</v>
      </c>
      <c r="D9" s="40">
        <v>0</v>
      </c>
      <c r="E9" s="40">
        <v>1</v>
      </c>
      <c r="F9" s="40">
        <v>3</v>
      </c>
      <c r="G9" s="39">
        <f>(F9/6)</f>
        <v>0.5</v>
      </c>
      <c r="H9" s="40">
        <f>SUM(C9:E9)+G9</f>
        <v>5.83</v>
      </c>
      <c r="I9" s="241">
        <f>342+332+42</f>
        <v>716</v>
      </c>
      <c r="J9" s="185">
        <f>I9/H9</f>
        <v>122.81303602058318</v>
      </c>
      <c r="K9" s="40">
        <f>L9+M9+N9</f>
        <v>265</v>
      </c>
      <c r="L9" s="40">
        <v>59</v>
      </c>
      <c r="M9" s="40">
        <v>55</v>
      </c>
      <c r="N9" s="40">
        <v>151</v>
      </c>
      <c r="O9" s="40">
        <f>N9/H9</f>
        <v>25.900514579759861</v>
      </c>
      <c r="P9" s="40">
        <f>K9/H9</f>
        <v>45.454545454545453</v>
      </c>
      <c r="Q9" s="40">
        <f>(I9/8.5)/H9</f>
        <v>14.448592473009787</v>
      </c>
      <c r="R9" s="40">
        <f>I9/((H9*0.95)*6)</f>
        <v>21.54614667027775</v>
      </c>
      <c r="S9" s="235"/>
      <c r="T9" s="235"/>
      <c r="U9" s="235"/>
    </row>
    <row r="10" spans="1:21">
      <c r="A10" s="184" t="s">
        <v>79</v>
      </c>
      <c r="B10" s="40" t="s">
        <v>41</v>
      </c>
      <c r="C10" s="40">
        <v>3.83</v>
      </c>
      <c r="D10" s="40">
        <v>2</v>
      </c>
      <c r="E10" s="40">
        <v>0</v>
      </c>
      <c r="F10" s="40">
        <v>9</v>
      </c>
      <c r="G10" s="39">
        <f>(F10/6)</f>
        <v>1.5</v>
      </c>
      <c r="H10" s="40">
        <f>SUM(C10:E10)+G10</f>
        <v>7.33</v>
      </c>
      <c r="I10" s="241">
        <v>1102</v>
      </c>
      <c r="J10" s="185">
        <f>I10/H10</f>
        <v>150.34106412005457</v>
      </c>
      <c r="K10" s="40">
        <f>SUM(L10:N10)</f>
        <v>205</v>
      </c>
      <c r="L10" s="40">
        <v>38</v>
      </c>
      <c r="M10" s="40">
        <v>54</v>
      </c>
      <c r="N10" s="40">
        <v>113</v>
      </c>
      <c r="O10" s="40">
        <f>N10/H10</f>
        <v>15.416098226466575</v>
      </c>
      <c r="P10" s="40">
        <f>K10/H10</f>
        <v>27.967257844474762</v>
      </c>
      <c r="Q10" s="40">
        <f>(I10/8.5)/H10</f>
        <v>17.687184014124067</v>
      </c>
      <c r="R10" s="40">
        <f>I10/((H10*0.95)*6)</f>
        <v>26.375625284220099</v>
      </c>
      <c r="S10" s="235"/>
      <c r="T10" s="235"/>
      <c r="U10" s="235"/>
    </row>
    <row r="11" spans="1:21">
      <c r="A11" s="184" t="s">
        <v>42</v>
      </c>
      <c r="B11" s="40" t="s">
        <v>41</v>
      </c>
      <c r="C11" s="40">
        <v>4.33</v>
      </c>
      <c r="D11" s="40">
        <v>0</v>
      </c>
      <c r="E11" s="40">
        <v>0</v>
      </c>
      <c r="F11" s="40">
        <v>6</v>
      </c>
      <c r="G11" s="39">
        <f>(F11/6)</f>
        <v>1</v>
      </c>
      <c r="H11" s="40">
        <f>SUM(C11:E11)+G11</f>
        <v>5.33</v>
      </c>
      <c r="I11" s="241">
        <v>678</v>
      </c>
      <c r="J11" s="185">
        <f>I11/H11</f>
        <v>127.20450281425892</v>
      </c>
      <c r="K11" s="40">
        <f>L11+M11+N11</f>
        <v>76</v>
      </c>
      <c r="L11" s="40">
        <v>15</v>
      </c>
      <c r="M11" s="40">
        <v>15</v>
      </c>
      <c r="N11" s="40">
        <v>46</v>
      </c>
      <c r="O11" s="40">
        <f>N11/H11</f>
        <v>8.6303939962476548</v>
      </c>
      <c r="P11" s="40">
        <f>K11/H11</f>
        <v>14.25891181988743</v>
      </c>
      <c r="Q11" s="40">
        <f>(I11/8.5)/H11</f>
        <v>14.965235625206931</v>
      </c>
      <c r="R11" s="40">
        <f>I11/((H11*0.95)*6)</f>
        <v>22.316579441098057</v>
      </c>
      <c r="S11" s="235"/>
      <c r="T11" s="235"/>
      <c r="U11" s="235"/>
    </row>
    <row r="12" spans="1:21">
      <c r="A12" s="184"/>
      <c r="B12" s="40"/>
      <c r="C12" s="40"/>
      <c r="D12" s="40"/>
      <c r="E12" s="40"/>
      <c r="F12" s="40"/>
      <c r="G12" s="39"/>
      <c r="H12" s="40"/>
      <c r="I12"/>
      <c r="J12" s="185"/>
      <c r="K12" s="40"/>
      <c r="L12" s="40"/>
      <c r="M12" s="40"/>
      <c r="N12" s="40"/>
      <c r="O12" s="40"/>
      <c r="P12" s="40"/>
      <c r="Q12" s="40"/>
      <c r="R12" s="40"/>
      <c r="S12" s="235"/>
      <c r="T12" s="235"/>
      <c r="U12" s="235"/>
    </row>
    <row r="13" spans="1:21">
      <c r="A13" s="184" t="s">
        <v>43</v>
      </c>
      <c r="B13" s="40" t="s">
        <v>44</v>
      </c>
      <c r="C13" s="40">
        <v>6.83</v>
      </c>
      <c r="D13" s="186">
        <v>1</v>
      </c>
      <c r="E13" s="40">
        <v>0</v>
      </c>
      <c r="F13" s="40">
        <v>1</v>
      </c>
      <c r="G13" s="39">
        <f>(F13/6)</f>
        <v>0.16666666666666666</v>
      </c>
      <c r="H13" s="40">
        <f t="shared" ref="H13:H19" si="0">SUM(C13:E13)+G13</f>
        <v>7.996666666666667</v>
      </c>
      <c r="I13" s="241">
        <v>758</v>
      </c>
      <c r="J13" s="185">
        <f t="shared" ref="J13:J32" si="1">I13/H13</f>
        <v>94.789495623176322</v>
      </c>
      <c r="K13" s="40">
        <f>L13+M13+N13</f>
        <v>73</v>
      </c>
      <c r="L13" s="40">
        <v>17</v>
      </c>
      <c r="M13" s="40">
        <v>11</v>
      </c>
      <c r="N13" s="40">
        <v>45</v>
      </c>
      <c r="O13" s="40">
        <f t="shared" ref="O13:O19" si="2">N13/H13</f>
        <v>5.6273447269695707</v>
      </c>
      <c r="P13" s="40">
        <f t="shared" ref="P13:P19" si="3">K13/H13</f>
        <v>9.128803668195081</v>
      </c>
      <c r="Q13" s="40">
        <f t="shared" ref="Q13:Q19" si="4">(I13/8.5)/H13</f>
        <v>11.151705367432507</v>
      </c>
      <c r="R13" s="40">
        <f t="shared" ref="R13:R19" si="5">I13/((H13*0.95)*6)</f>
        <v>16.62973607424146</v>
      </c>
      <c r="S13" s="235"/>
      <c r="T13" s="235"/>
      <c r="U13" s="235"/>
    </row>
    <row r="14" spans="1:21">
      <c r="A14" s="184" t="s">
        <v>45</v>
      </c>
      <c r="B14" s="40" t="s">
        <v>44</v>
      </c>
      <c r="C14" s="40">
        <v>4.83</v>
      </c>
      <c r="D14" s="40">
        <v>0</v>
      </c>
      <c r="E14" s="40">
        <v>0</v>
      </c>
      <c r="F14" s="40">
        <v>15</v>
      </c>
      <c r="G14" s="39">
        <f>(F14/6)</f>
        <v>2.5</v>
      </c>
      <c r="H14" s="40">
        <f t="shared" si="0"/>
        <v>7.33</v>
      </c>
      <c r="I14" s="241">
        <v>588</v>
      </c>
      <c r="J14" s="185">
        <f t="shared" si="1"/>
        <v>80.218281036834924</v>
      </c>
      <c r="K14" s="40">
        <f>L14+M14+N14</f>
        <v>26</v>
      </c>
      <c r="L14" s="40">
        <v>6</v>
      </c>
      <c r="M14" s="40">
        <v>5</v>
      </c>
      <c r="N14" s="40">
        <v>15</v>
      </c>
      <c r="O14" s="40">
        <f t="shared" si="2"/>
        <v>2.0463847203274215</v>
      </c>
      <c r="P14" s="40">
        <f t="shared" si="3"/>
        <v>3.5470668485675305</v>
      </c>
      <c r="Q14" s="40">
        <f t="shared" si="4"/>
        <v>9.4374448278629313</v>
      </c>
      <c r="R14" s="40">
        <f t="shared" si="5"/>
        <v>14.073382638041215</v>
      </c>
      <c r="S14" s="235"/>
      <c r="T14" s="235"/>
      <c r="U14" s="235"/>
    </row>
    <row r="15" spans="1:21">
      <c r="A15" s="184" t="s">
        <v>46</v>
      </c>
      <c r="B15" s="40" t="s">
        <v>44</v>
      </c>
      <c r="C15" s="40">
        <v>2.33</v>
      </c>
      <c r="D15" s="40">
        <v>0</v>
      </c>
      <c r="E15" s="40">
        <v>0</v>
      </c>
      <c r="F15" s="40">
        <v>4</v>
      </c>
      <c r="G15" s="39">
        <f>(F15/6)</f>
        <v>0.66666666666666663</v>
      </c>
      <c r="H15" s="40">
        <f t="shared" si="0"/>
        <v>2.9966666666666666</v>
      </c>
      <c r="I15" s="241">
        <v>391</v>
      </c>
      <c r="J15" s="185">
        <f t="shared" si="1"/>
        <v>130.47830923248054</v>
      </c>
      <c r="K15" s="40">
        <v>16</v>
      </c>
      <c r="L15" s="40">
        <v>1</v>
      </c>
      <c r="M15" s="40">
        <v>2</v>
      </c>
      <c r="N15" s="40">
        <v>15</v>
      </c>
      <c r="O15" s="40">
        <f t="shared" si="2"/>
        <v>5.0055617352614012</v>
      </c>
      <c r="P15" s="40">
        <f t="shared" si="3"/>
        <v>5.3392658509454956</v>
      </c>
      <c r="Q15" s="40">
        <f t="shared" si="4"/>
        <v>15.350389321468299</v>
      </c>
      <c r="R15" s="40">
        <f t="shared" si="5"/>
        <v>22.890931444294832</v>
      </c>
      <c r="S15" s="235"/>
      <c r="T15" s="235"/>
      <c r="U15" s="235"/>
    </row>
    <row r="16" spans="1:21">
      <c r="A16" s="184" t="s">
        <v>47</v>
      </c>
      <c r="B16" s="40" t="s">
        <v>44</v>
      </c>
      <c r="C16" s="40">
        <v>4.83</v>
      </c>
      <c r="D16" s="40">
        <v>0</v>
      </c>
      <c r="E16" s="40">
        <v>0</v>
      </c>
      <c r="F16" s="40">
        <v>0</v>
      </c>
      <c r="G16" s="39">
        <f>(F16/6)</f>
        <v>0</v>
      </c>
      <c r="H16" s="40">
        <f t="shared" si="0"/>
        <v>4.83</v>
      </c>
      <c r="I16" s="241">
        <v>493</v>
      </c>
      <c r="J16" s="185">
        <f t="shared" si="1"/>
        <v>102.0703933747412</v>
      </c>
      <c r="K16" s="40">
        <f>L16+M16+N16</f>
        <v>16</v>
      </c>
      <c r="L16" s="40">
        <v>9</v>
      </c>
      <c r="M16" s="40">
        <v>2</v>
      </c>
      <c r="N16" s="40">
        <v>5</v>
      </c>
      <c r="O16" s="40">
        <f t="shared" si="2"/>
        <v>1.0351966873706004</v>
      </c>
      <c r="P16" s="40">
        <f t="shared" si="3"/>
        <v>3.3126293995859211</v>
      </c>
      <c r="Q16" s="40">
        <f t="shared" si="4"/>
        <v>12.008281573498964</v>
      </c>
      <c r="R16" s="40">
        <f t="shared" si="5"/>
        <v>17.907086556972143</v>
      </c>
      <c r="S16" s="235"/>
      <c r="T16" s="235"/>
      <c r="U16" s="235"/>
    </row>
    <row r="17" spans="1:21" s="51" customFormat="1">
      <c r="A17" s="184" t="s">
        <v>49</v>
      </c>
      <c r="B17" s="47" t="s">
        <v>44</v>
      </c>
      <c r="C17" s="47">
        <v>1</v>
      </c>
      <c r="D17" s="47">
        <v>0</v>
      </c>
      <c r="E17" s="47">
        <v>0</v>
      </c>
      <c r="F17" s="47">
        <v>3</v>
      </c>
      <c r="G17" s="39">
        <f>(F17/6)</f>
        <v>0.5</v>
      </c>
      <c r="H17" s="40">
        <f t="shared" si="0"/>
        <v>1.5</v>
      </c>
      <c r="I17" s="241">
        <v>129</v>
      </c>
      <c r="J17" s="185">
        <f t="shared" si="1"/>
        <v>86</v>
      </c>
      <c r="K17" s="47">
        <v>1</v>
      </c>
      <c r="L17" s="47">
        <v>1</v>
      </c>
      <c r="M17" s="47">
        <v>0</v>
      </c>
      <c r="N17" s="47">
        <v>1</v>
      </c>
      <c r="O17" s="47">
        <f t="shared" si="2"/>
        <v>0.66666666666666663</v>
      </c>
      <c r="P17" s="47">
        <f t="shared" si="3"/>
        <v>0.66666666666666663</v>
      </c>
      <c r="Q17" s="47">
        <f t="shared" si="4"/>
        <v>10.117647058823529</v>
      </c>
      <c r="R17" s="40">
        <f t="shared" si="5"/>
        <v>15.087719298245617</v>
      </c>
      <c r="S17" s="235"/>
      <c r="T17" s="235"/>
      <c r="U17" s="235"/>
    </row>
    <row r="18" spans="1:21" s="51" customFormat="1">
      <c r="A18" s="184" t="s">
        <v>50</v>
      </c>
      <c r="B18" s="47" t="s">
        <v>44</v>
      </c>
      <c r="C18" s="47">
        <v>2.66</v>
      </c>
      <c r="D18" s="47">
        <v>0</v>
      </c>
      <c r="E18" s="47">
        <v>0</v>
      </c>
      <c r="F18" s="47">
        <v>0</v>
      </c>
      <c r="G18" s="46">
        <f>F18/6</f>
        <v>0</v>
      </c>
      <c r="H18" s="47">
        <f t="shared" si="0"/>
        <v>2.66</v>
      </c>
      <c r="I18" s="241">
        <v>302</v>
      </c>
      <c r="J18" s="185">
        <f t="shared" si="1"/>
        <v>113.53383458646616</v>
      </c>
      <c r="K18" s="47">
        <f>L18+M18+N18</f>
        <v>9</v>
      </c>
      <c r="L18" s="47">
        <v>0</v>
      </c>
      <c r="M18" s="47">
        <v>0</v>
      </c>
      <c r="N18" s="47">
        <v>9</v>
      </c>
      <c r="O18" s="47">
        <f t="shared" si="2"/>
        <v>3.3834586466165413</v>
      </c>
      <c r="P18" s="47">
        <f t="shared" si="3"/>
        <v>3.3834586466165413</v>
      </c>
      <c r="Q18" s="47">
        <f t="shared" si="4"/>
        <v>13.356921716054844</v>
      </c>
      <c r="R18" s="40">
        <f t="shared" si="5"/>
        <v>19.918216594116871</v>
      </c>
      <c r="S18" s="235"/>
      <c r="T18" s="235"/>
      <c r="U18" s="235"/>
    </row>
    <row r="19" spans="1:21" s="51" customFormat="1">
      <c r="A19" s="184" t="s">
        <v>80</v>
      </c>
      <c r="B19" s="47" t="s">
        <v>44</v>
      </c>
      <c r="C19" s="47">
        <v>0.83</v>
      </c>
      <c r="D19" s="47">
        <v>1</v>
      </c>
      <c r="E19" s="47">
        <v>0</v>
      </c>
      <c r="F19" s="47">
        <v>0</v>
      </c>
      <c r="G19" s="39">
        <f>(F19/6)</f>
        <v>0</v>
      </c>
      <c r="H19" s="40">
        <f t="shared" si="0"/>
        <v>1.83</v>
      </c>
      <c r="I19" s="241">
        <v>246</v>
      </c>
      <c r="J19" s="185">
        <f t="shared" si="1"/>
        <v>134.42622950819671</v>
      </c>
      <c r="K19" s="47">
        <f>L19+M19+N19</f>
        <v>8</v>
      </c>
      <c r="L19" s="47">
        <v>2</v>
      </c>
      <c r="M19" s="47">
        <v>1</v>
      </c>
      <c r="N19" s="47">
        <v>5</v>
      </c>
      <c r="O19" s="47">
        <f t="shared" si="2"/>
        <v>2.7322404371584699</v>
      </c>
      <c r="P19" s="47">
        <f t="shared" si="3"/>
        <v>4.3715846994535514</v>
      </c>
      <c r="Q19" s="47">
        <f t="shared" si="4"/>
        <v>15.814850530376084</v>
      </c>
      <c r="R19" s="40">
        <f t="shared" si="5"/>
        <v>23.583549036525742</v>
      </c>
      <c r="S19" s="235"/>
      <c r="T19" s="235"/>
      <c r="U19" s="235"/>
    </row>
    <row r="20" spans="1:21">
      <c r="A20" s="184"/>
      <c r="B20" s="40"/>
      <c r="C20" s="40"/>
      <c r="D20" s="40"/>
      <c r="E20" s="40"/>
      <c r="F20" s="40"/>
      <c r="G20" s="39"/>
      <c r="H20" s="40"/>
      <c r="I20"/>
      <c r="J20" s="185"/>
      <c r="K20" s="40"/>
      <c r="L20" s="40"/>
      <c r="M20" s="40"/>
      <c r="N20" s="40"/>
      <c r="O20" s="40"/>
      <c r="P20" s="40"/>
      <c r="Q20" s="40"/>
      <c r="R20" s="183"/>
    </row>
    <row r="21" spans="1:21">
      <c r="A21" s="184" t="s">
        <v>52</v>
      </c>
      <c r="B21" s="40" t="s">
        <v>53</v>
      </c>
      <c r="C21" s="40">
        <v>5.83</v>
      </c>
      <c r="D21" s="40">
        <v>0.5</v>
      </c>
      <c r="E21" s="40">
        <v>1</v>
      </c>
      <c r="F21" s="40">
        <v>13</v>
      </c>
      <c r="G21" s="39">
        <f t="shared" ref="G21:G26" si="6">(F21/6)</f>
        <v>2.1666666666666665</v>
      </c>
      <c r="H21" s="40">
        <f t="shared" ref="H21:H26" si="7">SUM(C21:E21)+G21</f>
        <v>9.4966666666666661</v>
      </c>
      <c r="I21" s="241">
        <v>1008.5</v>
      </c>
      <c r="J21" s="185">
        <f t="shared" si="1"/>
        <v>106.1951561951562</v>
      </c>
      <c r="K21" s="40">
        <f>SUM(L21:N21)</f>
        <v>235</v>
      </c>
      <c r="L21" s="40">
        <v>79</v>
      </c>
      <c r="M21" s="40">
        <v>32</v>
      </c>
      <c r="N21" s="40">
        <v>124</v>
      </c>
      <c r="O21" s="40">
        <f>N21/H21</f>
        <v>13.057213057213058</v>
      </c>
      <c r="P21" s="40">
        <f t="shared" ref="P21:P26" si="8">K21/H21</f>
        <v>24.745524745524747</v>
      </c>
      <c r="Q21" s="40">
        <f t="shared" ref="Q21:Q26" si="9">(I21/8.5)/H21</f>
        <v>12.493547787665435</v>
      </c>
      <c r="R21" s="183">
        <f t="shared" ref="R21:R26" si="10">I21/((H21*0.95)*6)</f>
        <v>18.63072915704495</v>
      </c>
    </row>
    <row r="22" spans="1:21">
      <c r="A22" s="184" t="s">
        <v>54</v>
      </c>
      <c r="B22" s="40" t="s">
        <v>53</v>
      </c>
      <c r="C22" s="40">
        <v>5.33</v>
      </c>
      <c r="D22" s="40">
        <v>0</v>
      </c>
      <c r="E22" s="40">
        <v>1</v>
      </c>
      <c r="F22" s="40">
        <v>8</v>
      </c>
      <c r="G22" s="39">
        <f t="shared" si="6"/>
        <v>1.3333333333333333</v>
      </c>
      <c r="H22" s="40">
        <f t="shared" si="7"/>
        <v>7.6633333333333331</v>
      </c>
      <c r="I22" s="241">
        <v>681</v>
      </c>
      <c r="J22" s="185">
        <f t="shared" si="1"/>
        <v>88.864723792953455</v>
      </c>
      <c r="K22" s="40">
        <f>SUM(L22:N22)</f>
        <v>47</v>
      </c>
      <c r="L22" s="40">
        <v>16</v>
      </c>
      <c r="M22" s="40">
        <v>5</v>
      </c>
      <c r="N22" s="40">
        <v>26</v>
      </c>
      <c r="O22" s="40">
        <f>N22/H22</f>
        <v>3.3927794693344935</v>
      </c>
      <c r="P22" s="40">
        <f t="shared" si="8"/>
        <v>6.1331013484123531</v>
      </c>
      <c r="Q22" s="40">
        <f t="shared" si="9"/>
        <v>10.45467338740629</v>
      </c>
      <c r="R22" s="183">
        <f t="shared" si="10"/>
        <v>15.590302419816396</v>
      </c>
    </row>
    <row r="23" spans="1:21">
      <c r="A23" s="184" t="s">
        <v>55</v>
      </c>
      <c r="B23" s="40" t="s">
        <v>53</v>
      </c>
      <c r="C23" s="40">
        <v>0.83</v>
      </c>
      <c r="D23" s="40">
        <v>1.5</v>
      </c>
      <c r="E23" s="40">
        <v>0</v>
      </c>
      <c r="F23" s="40">
        <v>0</v>
      </c>
      <c r="G23" s="39">
        <f t="shared" si="6"/>
        <v>0</v>
      </c>
      <c r="H23" s="40">
        <f t="shared" si="7"/>
        <v>2.33</v>
      </c>
      <c r="I23" s="241">
        <v>245</v>
      </c>
      <c r="J23" s="185">
        <f t="shared" si="1"/>
        <v>105.15021459227468</v>
      </c>
      <c r="K23" s="40">
        <f>SUM(L23:N23)</f>
        <v>47</v>
      </c>
      <c r="L23" s="40">
        <v>13</v>
      </c>
      <c r="M23" s="40">
        <v>14</v>
      </c>
      <c r="N23" s="40">
        <v>20</v>
      </c>
      <c r="O23" s="40">
        <v>15</v>
      </c>
      <c r="P23" s="40">
        <f t="shared" si="8"/>
        <v>20.171673819742487</v>
      </c>
      <c r="Q23" s="40">
        <f t="shared" si="9"/>
        <v>12.37061348144408</v>
      </c>
      <c r="R23" s="183">
        <f t="shared" si="10"/>
        <v>18.447406068820122</v>
      </c>
    </row>
    <row r="24" spans="1:21">
      <c r="A24" s="184" t="s">
        <v>56</v>
      </c>
      <c r="B24" s="40" t="s">
        <v>53</v>
      </c>
      <c r="C24" s="40">
        <v>3.83</v>
      </c>
      <c r="D24" s="40">
        <v>0</v>
      </c>
      <c r="E24" s="40">
        <v>0</v>
      </c>
      <c r="F24" s="40">
        <v>6</v>
      </c>
      <c r="G24" s="39">
        <f t="shared" si="6"/>
        <v>1</v>
      </c>
      <c r="H24" s="40">
        <f t="shared" si="7"/>
        <v>4.83</v>
      </c>
      <c r="I24" s="241">
        <v>654</v>
      </c>
      <c r="J24" s="185">
        <f t="shared" si="1"/>
        <v>135.40372670807454</v>
      </c>
      <c r="K24" s="40">
        <f>L24+M24+N24</f>
        <v>61</v>
      </c>
      <c r="L24" s="40">
        <v>19</v>
      </c>
      <c r="M24" s="40">
        <v>13</v>
      </c>
      <c r="N24" s="40">
        <v>29</v>
      </c>
      <c r="O24" s="40">
        <f>N24/H24</f>
        <v>6.004140786749482</v>
      </c>
      <c r="P24" s="40">
        <f t="shared" si="8"/>
        <v>12.629399585921325</v>
      </c>
      <c r="Q24" s="40">
        <f t="shared" si="9"/>
        <v>15.929850200949945</v>
      </c>
      <c r="R24" s="183">
        <f t="shared" si="10"/>
        <v>23.755039773346411</v>
      </c>
    </row>
    <row r="25" spans="1:21">
      <c r="A25" s="184" t="s">
        <v>57</v>
      </c>
      <c r="B25" s="40" t="s">
        <v>53</v>
      </c>
      <c r="C25" s="40">
        <v>3.5</v>
      </c>
      <c r="D25" s="40">
        <v>2</v>
      </c>
      <c r="E25" s="40">
        <v>0</v>
      </c>
      <c r="F25" s="40">
        <v>0</v>
      </c>
      <c r="G25" s="39">
        <f t="shared" si="6"/>
        <v>0</v>
      </c>
      <c r="H25" s="40">
        <f t="shared" si="7"/>
        <v>5.5</v>
      </c>
      <c r="I25" s="241">
        <v>600</v>
      </c>
      <c r="J25" s="185">
        <f t="shared" si="1"/>
        <v>109.09090909090909</v>
      </c>
      <c r="K25" s="40">
        <f>L25+M25+N25</f>
        <v>59</v>
      </c>
      <c r="L25" s="40">
        <v>19</v>
      </c>
      <c r="M25" s="40">
        <v>10</v>
      </c>
      <c r="N25" s="40">
        <v>30</v>
      </c>
      <c r="O25" s="40">
        <f>N25/H25</f>
        <v>5.4545454545454541</v>
      </c>
      <c r="P25" s="40">
        <f t="shared" si="8"/>
        <v>10.727272727272727</v>
      </c>
      <c r="Q25" s="40">
        <f t="shared" si="9"/>
        <v>12.834224598930483</v>
      </c>
      <c r="R25" s="183">
        <f t="shared" si="10"/>
        <v>19.138755980861244</v>
      </c>
    </row>
    <row r="26" spans="1:21">
      <c r="A26" s="184" t="s">
        <v>58</v>
      </c>
      <c r="B26" s="40" t="s">
        <v>53</v>
      </c>
      <c r="C26" s="40">
        <v>6.33</v>
      </c>
      <c r="D26" s="40">
        <v>1</v>
      </c>
      <c r="E26" s="40">
        <v>0</v>
      </c>
      <c r="F26" s="40">
        <v>7</v>
      </c>
      <c r="G26" s="39">
        <f t="shared" si="6"/>
        <v>1.1666666666666667</v>
      </c>
      <c r="H26" s="40">
        <f t="shared" si="7"/>
        <v>8.4966666666666661</v>
      </c>
      <c r="I26" s="241">
        <v>708</v>
      </c>
      <c r="J26" s="185">
        <f t="shared" si="1"/>
        <v>83.326794821498638</v>
      </c>
      <c r="K26" s="40">
        <f>L26+M26+N26</f>
        <v>175</v>
      </c>
      <c r="L26" s="40">
        <v>37</v>
      </c>
      <c r="M26" s="40">
        <v>35</v>
      </c>
      <c r="N26" s="40">
        <v>103</v>
      </c>
      <c r="O26" s="40">
        <f>N26/H26</f>
        <v>12.122400941545704</v>
      </c>
      <c r="P26" s="40">
        <f t="shared" si="8"/>
        <v>20.596312279325225</v>
      </c>
      <c r="Q26" s="40">
        <f t="shared" si="9"/>
        <v>9.8031523319410159</v>
      </c>
      <c r="R26" s="183">
        <f t="shared" si="10"/>
        <v>14.618735933596252</v>
      </c>
    </row>
    <row r="27" spans="1:21">
      <c r="A27" s="184"/>
      <c r="B27" s="40"/>
      <c r="C27" s="40"/>
      <c r="D27" s="40"/>
      <c r="E27" s="40"/>
      <c r="F27" s="40"/>
      <c r="G27" s="39"/>
      <c r="H27" s="40"/>
      <c r="I27"/>
      <c r="J27" s="185"/>
      <c r="K27" s="40"/>
      <c r="L27" s="40"/>
      <c r="M27" s="40"/>
      <c r="N27" s="40"/>
      <c r="O27" s="40"/>
      <c r="P27" s="40"/>
      <c r="Q27" s="40"/>
      <c r="R27" s="183"/>
    </row>
    <row r="28" spans="1:21">
      <c r="A28" s="184" t="s">
        <v>59</v>
      </c>
      <c r="B28" s="40" t="s">
        <v>60</v>
      </c>
      <c r="C28" s="40">
        <v>2.83</v>
      </c>
      <c r="D28" s="40">
        <v>1</v>
      </c>
      <c r="E28" s="40">
        <v>1</v>
      </c>
      <c r="F28" s="40">
        <v>5</v>
      </c>
      <c r="G28" s="39">
        <f>(F28/6)</f>
        <v>0.83333333333333337</v>
      </c>
      <c r="H28" s="40">
        <f t="shared" ref="H28:H34" si="11">SUM(C28:E28)+G28</f>
        <v>5.6633333333333331</v>
      </c>
      <c r="I28" s="241">
        <v>318</v>
      </c>
      <c r="J28" s="185">
        <f t="shared" si="1"/>
        <v>56.150676868746324</v>
      </c>
      <c r="K28" s="40">
        <f>SUM(L28:N28)</f>
        <v>87</v>
      </c>
      <c r="L28" s="40">
        <v>18</v>
      </c>
      <c r="M28" s="40">
        <v>19</v>
      </c>
      <c r="N28" s="40">
        <v>50</v>
      </c>
      <c r="O28" s="40">
        <f>N28/H28</f>
        <v>8.8287227781047672</v>
      </c>
      <c r="P28" s="40">
        <f>K28/H28</f>
        <v>15.361977633902296</v>
      </c>
      <c r="Q28" s="40">
        <f>(I28/8.5)/H28</f>
        <v>6.605961984558391</v>
      </c>
      <c r="R28" s="183">
        <f>I28/((H28*0.95)*6)</f>
        <v>9.8509959418853228</v>
      </c>
    </row>
    <row r="29" spans="1:21">
      <c r="A29" s="184" t="s">
        <v>61</v>
      </c>
      <c r="B29" s="40" t="s">
        <v>60</v>
      </c>
      <c r="C29" s="40">
        <v>6</v>
      </c>
      <c r="D29" s="40">
        <v>0</v>
      </c>
      <c r="E29" s="40">
        <v>0</v>
      </c>
      <c r="F29" s="40">
        <v>0</v>
      </c>
      <c r="G29" s="39">
        <f>(F29/6)</f>
        <v>0</v>
      </c>
      <c r="H29" s="40">
        <f t="shared" si="11"/>
        <v>6</v>
      </c>
      <c r="I29" s="241">
        <v>630</v>
      </c>
      <c r="J29" s="185">
        <f t="shared" si="1"/>
        <v>105</v>
      </c>
      <c r="K29" s="40">
        <f>L29+M29+N29</f>
        <v>34</v>
      </c>
      <c r="L29" s="40">
        <v>6</v>
      </c>
      <c r="M29" s="40">
        <v>6</v>
      </c>
      <c r="N29" s="40">
        <v>22</v>
      </c>
      <c r="O29" s="40">
        <f>N29/H29</f>
        <v>3.6666666666666665</v>
      </c>
      <c r="P29" s="40">
        <f>K29/H29</f>
        <v>5.666666666666667</v>
      </c>
      <c r="Q29" s="40">
        <f>(I29/8.5)/H29</f>
        <v>12.352941176470589</v>
      </c>
      <c r="R29" s="183">
        <f>I29/((H29*0.95)*6)</f>
        <v>18.421052631578949</v>
      </c>
    </row>
    <row r="30" spans="1:21">
      <c r="A30" s="184" t="s">
        <v>62</v>
      </c>
      <c r="B30" s="40" t="s">
        <v>60</v>
      </c>
      <c r="C30" s="40">
        <v>5.83</v>
      </c>
      <c r="D30" s="40">
        <v>0</v>
      </c>
      <c r="E30" s="40">
        <v>0</v>
      </c>
      <c r="F30" s="40">
        <v>1</v>
      </c>
      <c r="G30" s="39">
        <f>(F30/6)</f>
        <v>0.16666666666666666</v>
      </c>
      <c r="H30" s="40">
        <f t="shared" si="11"/>
        <v>5.996666666666667</v>
      </c>
      <c r="I30" s="241">
        <v>787</v>
      </c>
      <c r="J30" s="185">
        <f t="shared" si="1"/>
        <v>131.23957754307949</v>
      </c>
      <c r="K30" s="40">
        <f>L30+M30+N30</f>
        <v>61</v>
      </c>
      <c r="L30" s="40">
        <v>13</v>
      </c>
      <c r="M30" s="40">
        <v>14</v>
      </c>
      <c r="N30" s="40">
        <v>34</v>
      </c>
      <c r="O30" s="40">
        <f>N30/H30</f>
        <v>5.6698165647581984</v>
      </c>
      <c r="P30" s="40">
        <f>K30/H30</f>
        <v>10.172317954419121</v>
      </c>
      <c r="Q30" s="40">
        <f>(I30/8.5)/H30</f>
        <v>15.439950299185822</v>
      </c>
      <c r="R30" s="183">
        <f>I30/((H30*0.95)*6)</f>
        <v>23.024487288259561</v>
      </c>
    </row>
    <row r="31" spans="1:21">
      <c r="A31" s="187" t="s">
        <v>63</v>
      </c>
      <c r="B31" s="55" t="s">
        <v>60</v>
      </c>
      <c r="C31" s="55">
        <v>2.5</v>
      </c>
      <c r="D31" s="55">
        <v>0</v>
      </c>
      <c r="E31" s="55">
        <v>0</v>
      </c>
      <c r="F31" s="55">
        <v>14</v>
      </c>
      <c r="G31" s="54">
        <f>(F31/6)</f>
        <v>2.3333333333333335</v>
      </c>
      <c r="H31" s="55">
        <f t="shared" si="11"/>
        <v>4.8333333333333339</v>
      </c>
      <c r="I31" s="241">
        <v>486</v>
      </c>
      <c r="J31" s="185">
        <f t="shared" si="1"/>
        <v>100.55172413793102</v>
      </c>
      <c r="K31" s="55">
        <f>L31+M31+N31</f>
        <v>42</v>
      </c>
      <c r="L31" s="55">
        <v>5</v>
      </c>
      <c r="M31" s="55">
        <v>11</v>
      </c>
      <c r="N31" s="55">
        <v>26</v>
      </c>
      <c r="O31" s="55">
        <f>N31/H31</f>
        <v>5.3793103448275854</v>
      </c>
      <c r="P31" s="40">
        <f>K31/H31</f>
        <v>8.6896551724137918</v>
      </c>
      <c r="Q31" s="55">
        <f>(I31/8.5)/H31</f>
        <v>11.829614604462474</v>
      </c>
      <c r="R31" s="188">
        <f>I31/((H31*0.95)*6)</f>
        <v>17.640653357531761</v>
      </c>
    </row>
    <row r="32" spans="1:21">
      <c r="A32" s="187" t="s">
        <v>64</v>
      </c>
      <c r="B32" s="55" t="s">
        <v>60</v>
      </c>
      <c r="C32" s="55">
        <v>1.83</v>
      </c>
      <c r="D32" s="55">
        <v>0</v>
      </c>
      <c r="E32" s="55">
        <v>0</v>
      </c>
      <c r="F32" s="55">
        <v>3</v>
      </c>
      <c r="G32" s="54">
        <f>(F32/6)</f>
        <v>0.5</v>
      </c>
      <c r="H32" s="55">
        <f t="shared" si="11"/>
        <v>2.33</v>
      </c>
      <c r="I32" s="241">
        <v>206</v>
      </c>
      <c r="J32" s="185">
        <f t="shared" si="1"/>
        <v>88.412017167381975</v>
      </c>
      <c r="K32" s="55">
        <f>L32+M32+N32</f>
        <v>10</v>
      </c>
      <c r="L32" s="55">
        <v>2</v>
      </c>
      <c r="M32" s="55">
        <v>0</v>
      </c>
      <c r="N32" s="55">
        <v>8</v>
      </c>
      <c r="O32" s="40">
        <f>N32/H32</f>
        <v>3.4334763948497855</v>
      </c>
      <c r="P32" s="40">
        <f>K32/H32</f>
        <v>4.2918454935622314</v>
      </c>
      <c r="Q32" s="55">
        <f>(I32/8.5)/H32</f>
        <v>10.401413784397878</v>
      </c>
      <c r="R32" s="188">
        <f>I32/((H32*0.95)*6)</f>
        <v>15.510880204803856</v>
      </c>
    </row>
    <row r="33" spans="1:18">
      <c r="A33" s="239"/>
      <c r="B33" s="60"/>
      <c r="C33" s="60"/>
      <c r="D33" s="60"/>
      <c r="E33" s="60"/>
      <c r="F33" s="60"/>
      <c r="G33" s="59"/>
      <c r="H33" s="55">
        <f t="shared" si="11"/>
        <v>0</v>
      </c>
      <c r="I33"/>
      <c r="J33" s="191"/>
      <c r="K33" s="60"/>
      <c r="L33" s="60"/>
      <c r="M33" s="60"/>
      <c r="N33" s="60"/>
      <c r="O33" s="60"/>
      <c r="P33" s="60"/>
      <c r="Q33" s="60"/>
      <c r="R33" s="193"/>
    </row>
    <row r="34" spans="1:18" ht="16" thickBot="1">
      <c r="A34" s="189" t="s">
        <v>101</v>
      </c>
      <c r="B34" s="60" t="s">
        <v>102</v>
      </c>
      <c r="C34" s="60">
        <v>2</v>
      </c>
      <c r="D34" s="60">
        <v>0</v>
      </c>
      <c r="E34" s="60">
        <v>1</v>
      </c>
      <c r="F34" s="60">
        <v>0</v>
      </c>
      <c r="G34" s="59">
        <v>0</v>
      </c>
      <c r="H34" s="55">
        <f t="shared" si="11"/>
        <v>3</v>
      </c>
      <c r="I34" s="191">
        <v>279</v>
      </c>
      <c r="J34" s="191"/>
      <c r="K34" s="192">
        <f>SUM(L34+M34+N34)</f>
        <v>39</v>
      </c>
      <c r="L34" s="192">
        <v>9</v>
      </c>
      <c r="M34" s="192">
        <v>5</v>
      </c>
      <c r="N34" s="192">
        <v>25</v>
      </c>
      <c r="O34" s="60"/>
      <c r="P34" s="60"/>
      <c r="Q34" s="60"/>
      <c r="R34" s="193"/>
    </row>
    <row r="35" spans="1:18" ht="16" thickBot="1">
      <c r="A35" s="194" t="s">
        <v>65</v>
      </c>
      <c r="B35" s="195"/>
      <c r="C35" s="69">
        <f>SUM(C9:C34)</f>
        <v>82.439999999999984</v>
      </c>
      <c r="D35" s="69">
        <f t="shared" ref="D35:I35" si="12">SUM(D9:D32)</f>
        <v>10</v>
      </c>
      <c r="E35" s="69">
        <f>SUM(E9:E34)</f>
        <v>5</v>
      </c>
      <c r="F35" s="69">
        <f t="shared" si="12"/>
        <v>98</v>
      </c>
      <c r="G35" s="196">
        <f t="shared" si="12"/>
        <v>16.333333333333336</v>
      </c>
      <c r="H35" s="69">
        <f t="shared" si="12"/>
        <v>110.77333333333333</v>
      </c>
      <c r="I35" s="238">
        <f t="shared" si="12"/>
        <v>11726.5</v>
      </c>
      <c r="J35" s="197">
        <f>I35/H35</f>
        <v>105.86031535869043</v>
      </c>
      <c r="K35" s="238">
        <f>SUM(K9:K32)</f>
        <v>1553</v>
      </c>
      <c r="L35" s="198">
        <f>SUM(L9:L32)</f>
        <v>375</v>
      </c>
      <c r="M35" s="198">
        <f>SUM(M9:M32)</f>
        <v>304</v>
      </c>
      <c r="N35" s="197">
        <f>SUM(N9:N32)</f>
        <v>877</v>
      </c>
      <c r="O35" s="198">
        <f>N35/H35</f>
        <v>7.9170678863745794</v>
      </c>
      <c r="P35" s="198">
        <f>K35/H35</f>
        <v>14.019619643716901</v>
      </c>
      <c r="Q35" s="198">
        <f>(I35/8.5)/H35</f>
        <v>12.454154748081226</v>
      </c>
      <c r="R35" s="199">
        <f>I35/((H35*0.95)*6)</f>
        <v>18.571985150647446</v>
      </c>
    </row>
    <row r="36" spans="1:18" ht="16" thickBot="1">
      <c r="A36" s="156"/>
      <c r="B36" s="156"/>
      <c r="C36" s="77"/>
      <c r="D36" s="77"/>
      <c r="E36" s="77"/>
      <c r="F36" s="77"/>
      <c r="G36" s="76"/>
      <c r="H36" s="77"/>
      <c r="I36" s="76"/>
      <c r="J36" s="76"/>
      <c r="K36" s="200"/>
      <c r="L36" s="200"/>
      <c r="M36" s="200"/>
      <c r="N36" s="200"/>
      <c r="O36" s="77"/>
      <c r="P36" s="77"/>
      <c r="Q36" s="77"/>
      <c r="R36" s="77"/>
    </row>
    <row r="37" spans="1:18" ht="16" thickBot="1">
      <c r="A37" s="201" t="s">
        <v>66</v>
      </c>
      <c r="B37" s="202"/>
      <c r="C37" s="203"/>
      <c r="D37" s="203"/>
      <c r="E37" s="203"/>
      <c r="F37" s="203"/>
      <c r="G37" s="204"/>
      <c r="H37" s="203"/>
      <c r="I37" s="204"/>
      <c r="J37" s="204"/>
      <c r="K37" s="205"/>
      <c r="L37" s="205"/>
      <c r="M37" s="205"/>
      <c r="N37" s="205"/>
      <c r="O37" s="203"/>
      <c r="P37" s="203"/>
      <c r="Q37" s="203"/>
      <c r="R37" s="206"/>
    </row>
    <row r="38" spans="1:18" ht="16" thickBot="1">
      <c r="A38" s="207" t="s">
        <v>67</v>
      </c>
      <c r="B38" s="161"/>
      <c r="C38" s="90">
        <v>3.16</v>
      </c>
      <c r="D38" s="90">
        <v>0</v>
      </c>
      <c r="E38" s="90">
        <v>0.5</v>
      </c>
      <c r="F38" s="90">
        <v>11</v>
      </c>
      <c r="G38" s="89">
        <f>(F38/6)</f>
        <v>1.8333333333333333</v>
      </c>
      <c r="H38" s="90">
        <f>SUM(C38:E38)+G38</f>
        <v>5.4933333333333332</v>
      </c>
      <c r="I38" s="91">
        <v>317</v>
      </c>
      <c r="J38" s="91">
        <f>I38/H38</f>
        <v>57.706310679611654</v>
      </c>
      <c r="K38" s="90">
        <f>SUM(L38:N38)</f>
        <v>27</v>
      </c>
      <c r="L38" s="90">
        <v>3</v>
      </c>
      <c r="M38" s="208">
        <v>5</v>
      </c>
      <c r="N38" s="90">
        <v>19</v>
      </c>
      <c r="O38" s="90">
        <f>N38/H38</f>
        <v>3.45873786407767</v>
      </c>
      <c r="P38" s="90">
        <f>K38/H38</f>
        <v>4.9150485436893208</v>
      </c>
      <c r="Q38" s="90">
        <f>(I38/8.5)/H38</f>
        <v>6.788977727013136</v>
      </c>
      <c r="R38" s="181">
        <f>I38/((H38*0.95)*6)</f>
        <v>10.123914154317834</v>
      </c>
    </row>
    <row r="39" spans="1:18" ht="16" thickBot="1">
      <c r="A39" s="184" t="s">
        <v>68</v>
      </c>
      <c r="B39" s="165"/>
      <c r="C39" s="40">
        <v>14.16</v>
      </c>
      <c r="D39" s="40">
        <v>2.5</v>
      </c>
      <c r="E39" s="40">
        <v>3</v>
      </c>
      <c r="F39" s="240">
        <v>68.12</v>
      </c>
      <c r="G39" s="39">
        <f>(F39/6)</f>
        <v>11.353333333333333</v>
      </c>
      <c r="H39" s="40">
        <f>SUM(C39:E39)+G39</f>
        <v>31.013333333333335</v>
      </c>
      <c r="I39" s="209">
        <v>999.5</v>
      </c>
      <c r="J39" s="91">
        <f>I39/H39</f>
        <v>32.228073946689591</v>
      </c>
      <c r="K39" s="40">
        <f>L39+M39+N39</f>
        <v>110</v>
      </c>
      <c r="L39" s="40">
        <v>33</v>
      </c>
      <c r="M39" s="210">
        <v>13</v>
      </c>
      <c r="N39" s="40">
        <v>64</v>
      </c>
      <c r="O39" s="40">
        <f>N39/H39</f>
        <v>2.0636285468615649</v>
      </c>
      <c r="P39" s="40">
        <f>K39/H39</f>
        <v>3.5468615649183146</v>
      </c>
      <c r="Q39" s="40">
        <f>(I39/8.5)/H39</f>
        <v>3.7915381113752464</v>
      </c>
      <c r="R39" s="183">
        <f>I39/((H39*0.95)*6)</f>
        <v>5.6540480608227357</v>
      </c>
    </row>
    <row r="40" spans="1:18" ht="16" thickBot="1">
      <c r="A40" s="184" t="s">
        <v>69</v>
      </c>
      <c r="B40" s="165"/>
      <c r="C40" s="40">
        <f>8-0.5-0.5-0.66</f>
        <v>6.34</v>
      </c>
      <c r="D40" s="40">
        <v>1</v>
      </c>
      <c r="E40" s="40">
        <v>0</v>
      </c>
      <c r="F40" s="40">
        <v>33</v>
      </c>
      <c r="G40" s="39">
        <f>(F40/6)</f>
        <v>5.5</v>
      </c>
      <c r="H40" s="40">
        <f>SUM(C40:E40)+G40</f>
        <v>12.84</v>
      </c>
      <c r="I40" s="99">
        <v>939</v>
      </c>
      <c r="J40" s="91">
        <f>I40/H40</f>
        <v>73.130841121495322</v>
      </c>
      <c r="K40" s="40">
        <f>L40+M40+N40</f>
        <v>173</v>
      </c>
      <c r="L40" s="40">
        <v>38</v>
      </c>
      <c r="M40" s="210">
        <v>27</v>
      </c>
      <c r="N40" s="40">
        <v>108</v>
      </c>
      <c r="O40" s="40">
        <f>N40/H40</f>
        <v>8.4112149532710276</v>
      </c>
      <c r="P40" s="40">
        <f>K40/H40</f>
        <v>13.473520249221185</v>
      </c>
      <c r="Q40" s="40">
        <f>(I40/8.5)/H40</f>
        <v>8.6036283672347444</v>
      </c>
      <c r="R40" s="183">
        <f>I40/((H40*0.95)*6)</f>
        <v>12.829972126578129</v>
      </c>
    </row>
    <row r="41" spans="1:18" ht="93" thickBot="1">
      <c r="A41" s="211" t="s">
        <v>70</v>
      </c>
      <c r="B41" s="212"/>
      <c r="C41" s="105">
        <v>5.5</v>
      </c>
      <c r="D41" s="105">
        <v>1</v>
      </c>
      <c r="E41" s="105">
        <v>1</v>
      </c>
      <c r="F41" s="213">
        <v>55.39</v>
      </c>
      <c r="G41" s="104">
        <f>(F41/6)</f>
        <v>9.2316666666666674</v>
      </c>
      <c r="H41" s="105">
        <f>SUM(C41:E41)+G41</f>
        <v>16.731666666666669</v>
      </c>
      <c r="I41" s="106">
        <v>581.25</v>
      </c>
      <c r="J41" s="91">
        <f>I41/H41</f>
        <v>34.739515888036649</v>
      </c>
      <c r="K41" s="105">
        <f>L41+M41+N41</f>
        <v>93</v>
      </c>
      <c r="L41" s="105">
        <v>28</v>
      </c>
      <c r="M41" s="214">
        <v>10</v>
      </c>
      <c r="N41" s="105">
        <v>55</v>
      </c>
      <c r="O41" s="105">
        <f>N41/H41</f>
        <v>3.2871799980077694</v>
      </c>
      <c r="P41" s="105">
        <f>K41/H41</f>
        <v>5.5583225420858646</v>
      </c>
      <c r="Q41" s="105">
        <f>(I41/8.5)/H41</f>
        <v>4.0870018691807823</v>
      </c>
      <c r="R41" s="215">
        <f>I41/((H41*0.95)*6)</f>
        <v>6.0946519101818684</v>
      </c>
    </row>
    <row r="42" spans="1:18" ht="16" thickBot="1">
      <c r="A42" s="189"/>
      <c r="B42" s="190"/>
      <c r="C42" s="60"/>
      <c r="D42" s="60"/>
      <c r="E42" s="60"/>
      <c r="F42" s="60"/>
      <c r="G42" s="59"/>
      <c r="H42" s="60"/>
      <c r="I42" s="216"/>
      <c r="J42" s="216"/>
      <c r="K42" s="192"/>
      <c r="L42" s="192"/>
      <c r="M42" s="192"/>
      <c r="N42" s="192"/>
      <c r="O42" s="60"/>
      <c r="P42" s="60"/>
      <c r="Q42" s="60"/>
      <c r="R42" s="193"/>
    </row>
    <row r="43" spans="1:18" ht="16" thickBot="1">
      <c r="A43" s="217" t="s">
        <v>71</v>
      </c>
      <c r="B43" s="218"/>
      <c r="C43" s="116">
        <f>SUM(C38:C41)</f>
        <v>29.16</v>
      </c>
      <c r="D43" s="116">
        <f>D38+D39+D40+D41</f>
        <v>4.5</v>
      </c>
      <c r="E43" s="116">
        <f>SUM(E38:E41)</f>
        <v>4.5</v>
      </c>
      <c r="F43" s="116">
        <f>SUM(F38:F41)</f>
        <v>167.51</v>
      </c>
      <c r="G43" s="115">
        <f>SUM(G38:G41)</f>
        <v>27.918333333333337</v>
      </c>
      <c r="H43" s="116">
        <f>SUM(H38:H41)</f>
        <v>66.078333333333333</v>
      </c>
      <c r="I43" s="219">
        <f>SUM(I38:I41)</f>
        <v>2836.75</v>
      </c>
      <c r="J43" s="219">
        <f>I43/H43</f>
        <v>42.930108204908315</v>
      </c>
      <c r="K43" s="116">
        <f>SUM(K38:K41)</f>
        <v>403</v>
      </c>
      <c r="L43" s="116">
        <f>SUM(L38:L41)</f>
        <v>102</v>
      </c>
      <c r="M43" s="116">
        <f>SUM(M38:M41)</f>
        <v>55</v>
      </c>
      <c r="N43" s="116">
        <f>SUM(N38:N41)</f>
        <v>246</v>
      </c>
      <c r="O43" s="220">
        <f>N43/H43</f>
        <v>3.7228541882109618</v>
      </c>
      <c r="P43" s="220">
        <f>K43/H43</f>
        <v>6.098822105077307</v>
      </c>
      <c r="Q43" s="220">
        <f>(I43/8.5)/H43</f>
        <v>5.0506009652833317</v>
      </c>
      <c r="R43" s="221">
        <f>I43/((H43*0.95)*6)</f>
        <v>7.5315979306856704</v>
      </c>
    </row>
    <row r="44" spans="1:18" ht="16" thickBot="1">
      <c r="A44" s="156"/>
      <c r="B44" s="156"/>
      <c r="C44" s="77"/>
      <c r="D44" s="77"/>
      <c r="E44" s="77"/>
      <c r="F44" s="77"/>
      <c r="G44" s="76"/>
      <c r="H44" s="77"/>
      <c r="I44" s="76"/>
      <c r="J44" s="76"/>
      <c r="K44" s="200"/>
      <c r="L44" s="200"/>
      <c r="M44" s="200"/>
      <c r="N44" s="200"/>
      <c r="O44" s="222"/>
      <c r="P44" s="223"/>
      <c r="Q44" s="222"/>
      <c r="R44" s="222"/>
    </row>
    <row r="45" spans="1:18" ht="16" thickBot="1">
      <c r="A45" s="217" t="s">
        <v>72</v>
      </c>
      <c r="B45" s="218"/>
      <c r="C45" s="116">
        <f>C35+C43</f>
        <v>111.59999999999998</v>
      </c>
      <c r="D45" s="116">
        <f>D35+D43</f>
        <v>14.5</v>
      </c>
      <c r="E45" s="116">
        <f>E35+E43</f>
        <v>9.5</v>
      </c>
      <c r="F45" s="116">
        <f>SUM(F35,F43)</f>
        <v>265.51</v>
      </c>
      <c r="G45" s="115">
        <f t="shared" ref="G45:N45" si="13">G35+G43</f>
        <v>44.251666666666672</v>
      </c>
      <c r="H45" s="115">
        <f>H35+H43</f>
        <v>176.85166666666666</v>
      </c>
      <c r="I45" s="115">
        <f t="shared" si="13"/>
        <v>14563.25</v>
      </c>
      <c r="J45" s="115">
        <f>(I35+I43)/(H35+H43)</f>
        <v>82.347259002365448</v>
      </c>
      <c r="K45" s="115">
        <f t="shared" si="13"/>
        <v>1956</v>
      </c>
      <c r="L45" s="115">
        <f t="shared" si="13"/>
        <v>477</v>
      </c>
      <c r="M45" s="115">
        <f t="shared" si="13"/>
        <v>359</v>
      </c>
      <c r="N45" s="115">
        <f t="shared" si="13"/>
        <v>1123</v>
      </c>
      <c r="O45" s="220">
        <f>N45/H45</f>
        <v>6.3499542931458572</v>
      </c>
      <c r="P45" s="220">
        <f>K45/H45</f>
        <v>11.06011629331549</v>
      </c>
      <c r="Q45" s="220">
        <f>(I45/8.5)/H45</f>
        <v>9.6879128238077001</v>
      </c>
      <c r="R45" s="221">
        <f>I45/((H45*0.95)*6)</f>
        <v>14.446887544274642</v>
      </c>
    </row>
    <row r="46" spans="1:18">
      <c r="A46" s="156"/>
      <c r="B46" s="156"/>
      <c r="C46" s="77"/>
      <c r="D46" s="77"/>
      <c r="E46" s="77"/>
      <c r="F46" s="77"/>
      <c r="G46" s="77"/>
      <c r="H46" s="77"/>
      <c r="I46" s="77"/>
      <c r="J46" s="77"/>
      <c r="K46" s="77"/>
      <c r="L46" s="77"/>
      <c r="M46" s="77"/>
      <c r="N46" s="77"/>
      <c r="O46" s="77"/>
      <c r="P46" s="77"/>
      <c r="Q46" s="77"/>
      <c r="R46" s="77"/>
    </row>
    <row r="47" spans="1:18">
      <c r="A47" s="224" t="s">
        <v>73</v>
      </c>
      <c r="B47" s="225"/>
      <c r="C47" s="226"/>
      <c r="D47" s="226"/>
      <c r="E47" s="226"/>
      <c r="F47" s="226"/>
      <c r="G47" s="226"/>
      <c r="H47" s="226"/>
      <c r="I47" s="226"/>
      <c r="J47" s="226"/>
      <c r="K47" s="226"/>
      <c r="L47" s="226"/>
      <c r="M47" s="226"/>
      <c r="N47" s="226"/>
      <c r="O47" s="226"/>
      <c r="P47" s="226"/>
      <c r="Q47" s="226"/>
      <c r="R47" s="227"/>
    </row>
    <row r="48" spans="1:18">
      <c r="A48" s="242" t="s">
        <v>99</v>
      </c>
      <c r="B48" s="243"/>
      <c r="C48" s="243"/>
      <c r="D48" s="243"/>
      <c r="E48" s="243"/>
      <c r="F48" s="243"/>
      <c r="G48" s="243"/>
      <c r="H48" s="243"/>
      <c r="I48" s="243"/>
      <c r="J48" s="243"/>
      <c r="K48" s="243"/>
      <c r="L48" s="243"/>
      <c r="M48" s="243"/>
      <c r="N48" s="243"/>
      <c r="O48" s="243"/>
      <c r="P48" s="243"/>
      <c r="Q48" s="243"/>
      <c r="R48" s="244"/>
    </row>
    <row r="49" spans="1:18">
      <c r="A49" s="251" t="s">
        <v>100</v>
      </c>
      <c r="B49" s="252"/>
      <c r="C49" s="252"/>
      <c r="D49" s="252"/>
      <c r="E49" s="252"/>
      <c r="F49" s="252"/>
      <c r="G49" s="236"/>
      <c r="H49" s="236"/>
      <c r="I49" s="236"/>
      <c r="J49" s="236"/>
      <c r="K49" s="236"/>
      <c r="L49" s="236"/>
      <c r="M49" s="236"/>
      <c r="N49" s="236"/>
      <c r="O49" s="236"/>
      <c r="P49" s="236"/>
      <c r="Q49" s="236"/>
      <c r="R49" s="237"/>
    </row>
    <row r="50" spans="1:18">
      <c r="A50" s="228" t="s">
        <v>103</v>
      </c>
      <c r="B50" s="229"/>
      <c r="C50" s="229"/>
      <c r="D50" s="229"/>
      <c r="E50" s="229"/>
      <c r="F50" s="229"/>
      <c r="G50" s="229"/>
      <c r="H50" s="229"/>
      <c r="I50" s="229"/>
      <c r="J50" s="229"/>
      <c r="K50" s="229"/>
      <c r="L50" s="229"/>
      <c r="M50" s="229"/>
      <c r="N50" s="229"/>
      <c r="O50" s="229"/>
      <c r="P50" s="229"/>
      <c r="Q50" s="229"/>
      <c r="R50" s="230"/>
    </row>
    <row r="51" spans="1:18">
      <c r="A51" s="242" t="s">
        <v>104</v>
      </c>
      <c r="B51" s="243"/>
      <c r="C51" s="243"/>
      <c r="D51" s="243"/>
      <c r="E51" s="243"/>
      <c r="F51" s="243"/>
      <c r="G51" s="243"/>
      <c r="H51" s="243"/>
      <c r="I51" s="243"/>
      <c r="J51" s="243"/>
      <c r="K51" s="243"/>
      <c r="L51" s="243"/>
      <c r="M51" s="243"/>
      <c r="N51" s="243"/>
      <c r="O51" s="243"/>
      <c r="P51" s="243"/>
      <c r="Q51" s="243"/>
      <c r="R51" s="244"/>
    </row>
    <row r="52" spans="1:18">
      <c r="A52" s="231" t="s">
        <v>77</v>
      </c>
      <c r="B52" s="232"/>
      <c r="C52" s="232"/>
      <c r="D52" s="232"/>
      <c r="E52" s="232"/>
      <c r="F52" s="232"/>
      <c r="G52" s="232"/>
      <c r="H52" s="232"/>
      <c r="I52" s="192"/>
      <c r="J52" s="192"/>
      <c r="K52" s="192"/>
      <c r="L52" s="192"/>
      <c r="M52" s="192"/>
      <c r="N52" s="232"/>
      <c r="O52" s="232"/>
      <c r="P52" s="232"/>
      <c r="Q52" s="192"/>
      <c r="R52" s="233"/>
    </row>
    <row r="53" spans="1:18">
      <c r="A53" s="242" t="s">
        <v>105</v>
      </c>
      <c r="B53" s="243"/>
      <c r="C53" s="243"/>
      <c r="D53" s="243"/>
      <c r="E53" s="243"/>
      <c r="F53" s="243"/>
      <c r="G53" s="243"/>
      <c r="H53" s="243"/>
      <c r="I53" s="243"/>
      <c r="J53" s="243"/>
      <c r="K53" s="243"/>
      <c r="L53" s="243"/>
      <c r="M53" s="243"/>
      <c r="N53" s="243"/>
      <c r="O53" s="243"/>
      <c r="P53" s="243"/>
      <c r="Q53" s="243"/>
      <c r="R53" s="244"/>
    </row>
    <row r="54" spans="1:18">
      <c r="A54" s="242"/>
      <c r="B54" s="243"/>
      <c r="C54" s="243"/>
      <c r="D54" s="243"/>
      <c r="E54" s="243"/>
      <c r="F54" s="243"/>
      <c r="G54" s="243"/>
      <c r="H54" s="243"/>
      <c r="I54" s="243"/>
      <c r="J54" s="243"/>
      <c r="K54" s="243"/>
      <c r="L54" s="243"/>
      <c r="M54" s="243"/>
      <c r="N54" s="243"/>
      <c r="O54" s="243"/>
      <c r="P54" s="243"/>
      <c r="Q54" s="243"/>
      <c r="R54" s="244"/>
    </row>
    <row r="55" spans="1:18">
      <c r="A55" s="231"/>
    </row>
  </sheetData>
  <mergeCells count="7">
    <mergeCell ref="A54:R54"/>
    <mergeCell ref="K2:R2"/>
    <mergeCell ref="K3:R3"/>
    <mergeCell ref="A48:R48"/>
    <mergeCell ref="A51:R51"/>
    <mergeCell ref="A53:R53"/>
    <mergeCell ref="A49:F49"/>
  </mergeCells>
  <phoneticPr fontId="15" type="noConversion"/>
  <pageMargins left="0.75" right="0.75" top="1" bottom="1" header="0.5" footer="0.5"/>
  <pageSetup scale="48"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election sqref="A1:XFD1048576"/>
    </sheetView>
  </sheetViews>
  <sheetFormatPr baseColWidth="10" defaultRowHeight="15" x14ac:dyDescent="0"/>
  <sheetData>
    <row r="1" spans="1:18" ht="29" thickBot="1">
      <c r="A1" s="1"/>
      <c r="B1" s="1"/>
      <c r="C1" s="1"/>
      <c r="D1" s="1"/>
      <c r="E1" s="1"/>
      <c r="F1" s="2"/>
      <c r="G1" s="3" t="s">
        <v>0</v>
      </c>
      <c r="H1" s="2"/>
      <c r="I1" s="4"/>
      <c r="J1" s="4"/>
      <c r="K1" s="4"/>
      <c r="L1" s="4"/>
      <c r="M1" s="1"/>
      <c r="N1" s="1"/>
      <c r="O1" s="1"/>
      <c r="P1" s="1"/>
      <c r="Q1" s="1"/>
      <c r="R1" s="1"/>
    </row>
    <row r="2" spans="1:18">
      <c r="A2" s="5" t="s">
        <v>1</v>
      </c>
      <c r="B2" s="6"/>
      <c r="C2" s="7"/>
      <c r="D2" s="8"/>
      <c r="E2" s="8"/>
      <c r="F2" s="8"/>
      <c r="G2" s="8"/>
      <c r="H2" s="8"/>
      <c r="I2" s="9"/>
      <c r="J2" s="10"/>
      <c r="K2" s="253" t="s">
        <v>2</v>
      </c>
      <c r="L2" s="254"/>
      <c r="M2" s="254"/>
      <c r="N2" s="254"/>
      <c r="O2" s="254"/>
      <c r="P2" s="254"/>
      <c r="Q2" s="254"/>
      <c r="R2" s="255"/>
    </row>
    <row r="3" spans="1:18">
      <c r="A3" s="11"/>
      <c r="B3" s="12"/>
      <c r="C3" s="13"/>
      <c r="D3" s="14"/>
      <c r="E3" s="14"/>
      <c r="F3" s="14"/>
      <c r="G3" s="14"/>
      <c r="H3" s="13" t="s">
        <v>3</v>
      </c>
      <c r="I3" s="15" t="s">
        <v>4</v>
      </c>
      <c r="J3" s="13" t="s">
        <v>5</v>
      </c>
      <c r="K3" s="256" t="s">
        <v>6</v>
      </c>
      <c r="L3" s="257"/>
      <c r="M3" s="257"/>
      <c r="N3" s="257"/>
      <c r="O3" s="257"/>
      <c r="P3" s="257"/>
      <c r="Q3" s="257"/>
      <c r="R3" s="258"/>
    </row>
    <row r="4" spans="1:18">
      <c r="A4" s="16"/>
      <c r="B4" s="17"/>
      <c r="C4" s="18" t="s">
        <v>7</v>
      </c>
      <c r="D4" s="18" t="s">
        <v>8</v>
      </c>
      <c r="E4" s="18" t="s">
        <v>9</v>
      </c>
      <c r="F4" s="13" t="s">
        <v>10</v>
      </c>
      <c r="G4" s="13" t="s">
        <v>10</v>
      </c>
      <c r="H4" s="13" t="s">
        <v>11</v>
      </c>
      <c r="I4" s="13" t="s">
        <v>12</v>
      </c>
      <c r="J4" s="13" t="s">
        <v>13</v>
      </c>
      <c r="K4" s="13" t="s">
        <v>14</v>
      </c>
      <c r="L4" s="13" t="s">
        <v>14</v>
      </c>
      <c r="M4" s="13" t="s">
        <v>14</v>
      </c>
      <c r="N4" s="13" t="s">
        <v>14</v>
      </c>
      <c r="O4" s="13" t="s">
        <v>15</v>
      </c>
      <c r="P4" s="19" t="s">
        <v>16</v>
      </c>
      <c r="Q4" s="13" t="s">
        <v>17</v>
      </c>
      <c r="R4" s="20" t="s">
        <v>18</v>
      </c>
    </row>
    <row r="5" spans="1:18" ht="16" thickBot="1">
      <c r="A5" s="21" t="s">
        <v>19</v>
      </c>
      <c r="B5" s="22" t="s">
        <v>20</v>
      </c>
      <c r="C5" s="23" t="s">
        <v>21</v>
      </c>
      <c r="D5" s="23" t="s">
        <v>22</v>
      </c>
      <c r="E5" s="23" t="s">
        <v>23</v>
      </c>
      <c r="F5" s="24" t="s">
        <v>12</v>
      </c>
      <c r="G5" s="24" t="s">
        <v>24</v>
      </c>
      <c r="H5" s="24" t="s">
        <v>25</v>
      </c>
      <c r="I5" s="24" t="s">
        <v>26</v>
      </c>
      <c r="J5" s="13"/>
      <c r="K5" s="24" t="s">
        <v>27</v>
      </c>
      <c r="L5" s="24" t="s">
        <v>28</v>
      </c>
      <c r="M5" s="24" t="s">
        <v>29</v>
      </c>
      <c r="N5" s="24" t="s">
        <v>30</v>
      </c>
      <c r="O5" s="24" t="s">
        <v>31</v>
      </c>
      <c r="P5" s="25" t="s">
        <v>31</v>
      </c>
      <c r="Q5" s="24" t="s">
        <v>13</v>
      </c>
      <c r="R5" s="26" t="s">
        <v>32</v>
      </c>
    </row>
    <row r="6" spans="1:18" ht="16" thickBot="1">
      <c r="A6" s="27"/>
      <c r="B6" s="28"/>
      <c r="C6" s="28"/>
      <c r="D6" s="28"/>
      <c r="E6" s="28"/>
      <c r="F6" s="28"/>
      <c r="G6" s="28"/>
      <c r="H6" s="28"/>
      <c r="I6" s="29"/>
      <c r="J6" s="29"/>
      <c r="K6" s="29"/>
      <c r="L6" s="29"/>
      <c r="M6" s="29"/>
      <c r="N6" s="28"/>
      <c r="O6" s="28"/>
      <c r="P6" s="28"/>
      <c r="Q6" s="29"/>
      <c r="R6" s="30"/>
    </row>
    <row r="7" spans="1:18" ht="67">
      <c r="A7" s="31" t="s">
        <v>33</v>
      </c>
      <c r="B7" s="8"/>
      <c r="C7" s="32" t="s">
        <v>34</v>
      </c>
      <c r="D7" s="32" t="s">
        <v>34</v>
      </c>
      <c r="E7" s="32" t="s">
        <v>34</v>
      </c>
      <c r="F7" s="33" t="s">
        <v>35</v>
      </c>
      <c r="G7" s="9" t="s">
        <v>36</v>
      </c>
      <c r="H7" s="9" t="s">
        <v>36</v>
      </c>
      <c r="I7" s="33" t="s">
        <v>37</v>
      </c>
      <c r="J7" s="33"/>
      <c r="K7" s="9" t="s">
        <v>36</v>
      </c>
      <c r="L7" s="33" t="s">
        <v>38</v>
      </c>
      <c r="M7" s="33" t="s">
        <v>38</v>
      </c>
      <c r="N7" s="33" t="s">
        <v>38</v>
      </c>
      <c r="O7" s="9" t="s">
        <v>36</v>
      </c>
      <c r="P7" s="9" t="s">
        <v>36</v>
      </c>
      <c r="Q7" s="9" t="s">
        <v>36</v>
      </c>
      <c r="R7" s="34" t="s">
        <v>36</v>
      </c>
    </row>
    <row r="8" spans="1:18">
      <c r="A8" s="35" t="s">
        <v>39</v>
      </c>
      <c r="B8" s="14"/>
      <c r="C8" s="14"/>
      <c r="D8" s="14"/>
      <c r="E8" s="14"/>
      <c r="F8" s="14"/>
      <c r="G8" s="14"/>
      <c r="H8" s="14"/>
      <c r="I8" s="36"/>
      <c r="J8" s="36"/>
      <c r="K8" s="36"/>
      <c r="L8" s="36"/>
      <c r="M8" s="36"/>
      <c r="N8" s="14"/>
      <c r="O8" s="14"/>
      <c r="P8" s="14"/>
      <c r="Q8" s="36"/>
      <c r="R8" s="37"/>
    </row>
    <row r="9" spans="1:18">
      <c r="A9" s="38" t="s">
        <v>40</v>
      </c>
      <c r="B9" s="36" t="s">
        <v>41</v>
      </c>
      <c r="C9" s="36">
        <v>9.5</v>
      </c>
      <c r="D9" s="36">
        <v>1</v>
      </c>
      <c r="E9" s="36"/>
      <c r="F9" s="36">
        <v>18</v>
      </c>
      <c r="G9" s="39">
        <f>(F9/6)</f>
        <v>3</v>
      </c>
      <c r="H9" s="40">
        <f>SUM(C9:E9)+G9</f>
        <v>13.5</v>
      </c>
      <c r="I9" s="41">
        <v>1903</v>
      </c>
      <c r="J9" s="41">
        <f>I9/H9</f>
        <v>140.96296296296296</v>
      </c>
      <c r="K9" s="36">
        <f>SUM(L9:N9)</f>
        <v>431</v>
      </c>
      <c r="L9" s="36">
        <v>81</v>
      </c>
      <c r="M9" s="36">
        <v>111</v>
      </c>
      <c r="N9" s="36">
        <v>239</v>
      </c>
      <c r="O9" s="42">
        <f>N9/H9</f>
        <v>17.703703703703702</v>
      </c>
      <c r="P9" s="42">
        <f>K9/H9</f>
        <v>31.925925925925927</v>
      </c>
      <c r="Q9" s="42">
        <f>(I9/8.5)/H9</f>
        <v>16.583877995642702</v>
      </c>
      <c r="R9" s="43">
        <f>I9/((H9*0.95)*6)</f>
        <v>24.730344379467191</v>
      </c>
    </row>
    <row r="10" spans="1:18">
      <c r="A10" s="38" t="s">
        <v>42</v>
      </c>
      <c r="B10" s="36" t="s">
        <v>41</v>
      </c>
      <c r="C10" s="36">
        <v>5.5</v>
      </c>
      <c r="D10" s="36">
        <v>0</v>
      </c>
      <c r="E10" s="36"/>
      <c r="F10" s="36">
        <v>2</v>
      </c>
      <c r="G10" s="39">
        <f>(F10/6)</f>
        <v>0.33333333333333331</v>
      </c>
      <c r="H10" s="40">
        <f>SUM(C10:E10)+G10</f>
        <v>5.833333333333333</v>
      </c>
      <c r="I10" s="41">
        <v>714</v>
      </c>
      <c r="J10" s="41">
        <f>I10/H10</f>
        <v>122.4</v>
      </c>
      <c r="K10" s="36">
        <f>SUM(L10:N10)</f>
        <v>83</v>
      </c>
      <c r="L10" s="36">
        <v>15</v>
      </c>
      <c r="M10" s="36">
        <v>17</v>
      </c>
      <c r="N10" s="36">
        <v>51</v>
      </c>
      <c r="O10" s="42">
        <f>N10/H10</f>
        <v>8.7428571428571438</v>
      </c>
      <c r="P10" s="42">
        <f>K10/H10</f>
        <v>14.22857142857143</v>
      </c>
      <c r="Q10" s="42">
        <f>(I10/8.5)/H10</f>
        <v>14.4</v>
      </c>
      <c r="R10" s="43">
        <f>I10/((H10*0.95)*6)</f>
        <v>21.473684210526315</v>
      </c>
    </row>
    <row r="11" spans="1:18">
      <c r="A11" s="38"/>
      <c r="B11" s="36"/>
      <c r="C11" s="36"/>
      <c r="D11" s="36"/>
      <c r="E11" s="36"/>
      <c r="F11" s="36"/>
      <c r="G11" s="39"/>
      <c r="H11" s="40"/>
      <c r="I11" s="41"/>
      <c r="J11" s="41"/>
      <c r="K11" s="36"/>
      <c r="L11" s="36"/>
      <c r="M11" s="36"/>
      <c r="N11" s="36"/>
      <c r="O11" s="42"/>
      <c r="P11" s="42"/>
      <c r="Q11" s="42"/>
      <c r="R11" s="43"/>
    </row>
    <row r="12" spans="1:18">
      <c r="A12" s="38" t="s">
        <v>43</v>
      </c>
      <c r="B12" s="36" t="s">
        <v>44</v>
      </c>
      <c r="C12" s="36">
        <v>10</v>
      </c>
      <c r="D12" s="44">
        <v>1</v>
      </c>
      <c r="E12" s="36"/>
      <c r="F12" s="36">
        <v>5</v>
      </c>
      <c r="G12" s="39">
        <f>(F12/6)</f>
        <v>0.83333333333333337</v>
      </c>
      <c r="H12" s="40">
        <f t="shared" ref="H12:H19" si="0">SUM(C12:E12)+G12</f>
        <v>11.833333333333334</v>
      </c>
      <c r="I12" s="41">
        <v>963</v>
      </c>
      <c r="J12" s="41">
        <f t="shared" ref="J12:J32" si="1">I12/H12</f>
        <v>81.380281690140848</v>
      </c>
      <c r="K12" s="36">
        <f>SUM(L12:N12)</f>
        <v>105</v>
      </c>
      <c r="L12" s="36">
        <v>21</v>
      </c>
      <c r="M12" s="36">
        <v>24</v>
      </c>
      <c r="N12" s="36">
        <v>60</v>
      </c>
      <c r="O12" s="42">
        <f t="shared" ref="O12:O19" si="2">N12/H12</f>
        <v>5.0704225352112671</v>
      </c>
      <c r="P12" s="42">
        <f t="shared" ref="P12:P19" si="3">K12/H12</f>
        <v>8.873239436619718</v>
      </c>
      <c r="Q12" s="42">
        <f t="shared" ref="Q12:Q17" si="4">(I12/8.5)/H12</f>
        <v>9.5741507870753928</v>
      </c>
      <c r="R12" s="43">
        <f t="shared" ref="R12:R17" si="5">I12/((H12*0.95)*6)</f>
        <v>14.277242401779095</v>
      </c>
    </row>
    <row r="13" spans="1:18">
      <c r="A13" s="38" t="s">
        <v>45</v>
      </c>
      <c r="B13" s="36" t="s">
        <v>44</v>
      </c>
      <c r="C13" s="36">
        <v>4.5</v>
      </c>
      <c r="D13" s="36">
        <v>1</v>
      </c>
      <c r="E13" s="36"/>
      <c r="F13" s="36">
        <v>16</v>
      </c>
      <c r="G13" s="39">
        <f>(F13/6)</f>
        <v>2.6666666666666665</v>
      </c>
      <c r="H13" s="40">
        <f t="shared" si="0"/>
        <v>8.1666666666666661</v>
      </c>
      <c r="I13" s="41">
        <v>785</v>
      </c>
      <c r="J13" s="41">
        <f t="shared" si="1"/>
        <v>96.122448979591837</v>
      </c>
      <c r="K13" s="36">
        <f>SUM(L13:N13)</f>
        <v>46</v>
      </c>
      <c r="L13" s="36">
        <v>9</v>
      </c>
      <c r="M13" s="36">
        <v>6</v>
      </c>
      <c r="N13" s="36">
        <v>31</v>
      </c>
      <c r="O13" s="42">
        <f t="shared" si="2"/>
        <v>3.795918367346939</v>
      </c>
      <c r="P13" s="42">
        <f t="shared" si="3"/>
        <v>5.6326530612244898</v>
      </c>
      <c r="Q13" s="42">
        <f t="shared" si="4"/>
        <v>11.308523409363747</v>
      </c>
      <c r="R13" s="43">
        <f t="shared" si="5"/>
        <v>16.863587540279273</v>
      </c>
    </row>
    <row r="14" spans="1:18">
      <c r="A14" s="38" t="s">
        <v>46</v>
      </c>
      <c r="B14" s="36" t="s">
        <v>44</v>
      </c>
      <c r="C14" s="36">
        <v>3</v>
      </c>
      <c r="D14" s="36">
        <v>2</v>
      </c>
      <c r="E14" s="36"/>
      <c r="F14" s="36">
        <v>3</v>
      </c>
      <c r="G14" s="39">
        <f>(F14/6)</f>
        <v>0.5</v>
      </c>
      <c r="H14" s="40">
        <f t="shared" si="0"/>
        <v>5.5</v>
      </c>
      <c r="I14" s="41">
        <v>702</v>
      </c>
      <c r="J14" s="41">
        <f t="shared" si="1"/>
        <v>127.63636363636364</v>
      </c>
      <c r="K14" s="36">
        <f>SUM(L14:N14)</f>
        <v>14</v>
      </c>
      <c r="L14" s="36">
        <v>3</v>
      </c>
      <c r="M14" s="36">
        <v>1</v>
      </c>
      <c r="N14" s="36">
        <v>10</v>
      </c>
      <c r="O14" s="42">
        <f t="shared" si="2"/>
        <v>1.8181818181818181</v>
      </c>
      <c r="P14" s="42">
        <f t="shared" si="3"/>
        <v>2.5454545454545454</v>
      </c>
      <c r="Q14" s="42">
        <f t="shared" si="4"/>
        <v>15.016042780748664</v>
      </c>
      <c r="R14" s="43">
        <f t="shared" si="5"/>
        <v>22.392344497607656</v>
      </c>
    </row>
    <row r="15" spans="1:18">
      <c r="A15" s="38" t="s">
        <v>47</v>
      </c>
      <c r="B15" s="36" t="s">
        <v>44</v>
      </c>
      <c r="C15" s="36">
        <v>2.5</v>
      </c>
      <c r="D15" s="36">
        <v>2</v>
      </c>
      <c r="E15" s="36"/>
      <c r="F15" s="36">
        <v>0</v>
      </c>
      <c r="G15" s="39">
        <f>(F15/6)</f>
        <v>0</v>
      </c>
      <c r="H15" s="40">
        <f t="shared" si="0"/>
        <v>4.5</v>
      </c>
      <c r="I15" s="41">
        <v>458</v>
      </c>
      <c r="J15" s="41">
        <f t="shared" si="1"/>
        <v>101.77777777777777</v>
      </c>
      <c r="K15" s="36">
        <f>SUM(L15:N15)</f>
        <v>14</v>
      </c>
      <c r="L15" s="36">
        <v>1</v>
      </c>
      <c r="M15" s="36">
        <v>2</v>
      </c>
      <c r="N15" s="36">
        <v>11</v>
      </c>
      <c r="O15" s="42">
        <f t="shared" si="2"/>
        <v>2.4444444444444446</v>
      </c>
      <c r="P15" s="42">
        <f t="shared" si="3"/>
        <v>3.1111111111111112</v>
      </c>
      <c r="Q15" s="42">
        <f t="shared" si="4"/>
        <v>11.973856209150327</v>
      </c>
      <c r="R15" s="43">
        <f t="shared" si="5"/>
        <v>17.855750487329434</v>
      </c>
    </row>
    <row r="16" spans="1:18" s="51" customFormat="1">
      <c r="A16" s="38" t="s">
        <v>48</v>
      </c>
      <c r="B16" s="45" t="s">
        <v>44</v>
      </c>
      <c r="C16" s="45">
        <v>6</v>
      </c>
      <c r="D16" s="45">
        <v>2</v>
      </c>
      <c r="E16" s="45"/>
      <c r="F16" s="45">
        <v>8</v>
      </c>
      <c r="G16" s="46">
        <f>F16/6</f>
        <v>1.3333333333333333</v>
      </c>
      <c r="H16" s="47">
        <f t="shared" si="0"/>
        <v>9.3333333333333339</v>
      </c>
      <c r="I16" s="48">
        <v>683</v>
      </c>
      <c r="J16" s="41">
        <f t="shared" si="1"/>
        <v>73.178571428571431</v>
      </c>
      <c r="K16" s="45">
        <v>33</v>
      </c>
      <c r="L16" s="45">
        <v>7</v>
      </c>
      <c r="M16" s="45">
        <v>4</v>
      </c>
      <c r="N16" s="45">
        <v>12</v>
      </c>
      <c r="O16" s="49">
        <f t="shared" si="2"/>
        <v>1.2857142857142856</v>
      </c>
      <c r="P16" s="49">
        <f t="shared" si="3"/>
        <v>3.5357142857142856</v>
      </c>
      <c r="Q16" s="49">
        <f t="shared" si="4"/>
        <v>8.6092436974789912</v>
      </c>
      <c r="R16" s="50">
        <f t="shared" si="5"/>
        <v>12.838345864661653</v>
      </c>
    </row>
    <row r="17" spans="1:18" s="51" customFormat="1">
      <c r="A17" s="38" t="s">
        <v>49</v>
      </c>
      <c r="B17" s="45" t="s">
        <v>44</v>
      </c>
      <c r="C17" s="45">
        <v>1.3</v>
      </c>
      <c r="D17" s="45">
        <v>0</v>
      </c>
      <c r="E17" s="45"/>
      <c r="F17" s="45">
        <v>0</v>
      </c>
      <c r="G17" s="39">
        <f>(F17/6)</f>
        <v>0</v>
      </c>
      <c r="H17" s="40">
        <f t="shared" si="0"/>
        <v>1.3</v>
      </c>
      <c r="I17" s="48">
        <v>128</v>
      </c>
      <c r="J17" s="41">
        <f t="shared" si="1"/>
        <v>98.461538461538453</v>
      </c>
      <c r="K17" s="45">
        <v>4</v>
      </c>
      <c r="L17" s="45">
        <v>1</v>
      </c>
      <c r="M17" s="45">
        <v>0</v>
      </c>
      <c r="N17" s="45">
        <v>3</v>
      </c>
      <c r="O17" s="49">
        <f t="shared" si="2"/>
        <v>2.3076923076923075</v>
      </c>
      <c r="P17" s="49">
        <f t="shared" si="3"/>
        <v>3.0769230769230766</v>
      </c>
      <c r="Q17" s="49">
        <f t="shared" si="4"/>
        <v>11.583710407239819</v>
      </c>
      <c r="R17" s="50">
        <f t="shared" si="5"/>
        <v>17.273954116059382</v>
      </c>
    </row>
    <row r="18" spans="1:18" s="51" customFormat="1">
      <c r="A18" s="38" t="s">
        <v>50</v>
      </c>
      <c r="B18" s="45" t="s">
        <v>44</v>
      </c>
      <c r="C18" s="45">
        <v>3</v>
      </c>
      <c r="D18" s="45">
        <v>2</v>
      </c>
      <c r="E18" s="45"/>
      <c r="F18" s="45">
        <v>2</v>
      </c>
      <c r="G18" s="46">
        <f>F18/6</f>
        <v>0.33333333333333331</v>
      </c>
      <c r="H18" s="47">
        <f t="shared" si="0"/>
        <v>5.333333333333333</v>
      </c>
      <c r="I18" s="48">
        <v>268</v>
      </c>
      <c r="J18" s="41">
        <f t="shared" si="1"/>
        <v>50.25</v>
      </c>
      <c r="K18" s="45">
        <v>14</v>
      </c>
      <c r="L18" s="45">
        <v>3</v>
      </c>
      <c r="M18" s="45">
        <v>3</v>
      </c>
      <c r="N18" s="45">
        <v>8</v>
      </c>
      <c r="O18" s="49">
        <f t="shared" si="2"/>
        <v>1.5</v>
      </c>
      <c r="P18" s="49">
        <f t="shared" si="3"/>
        <v>2.625</v>
      </c>
      <c r="Q18" s="49"/>
      <c r="R18" s="50"/>
    </row>
    <row r="19" spans="1:18" s="51" customFormat="1">
      <c r="A19" s="38" t="s">
        <v>51</v>
      </c>
      <c r="B19" s="45" t="s">
        <v>44</v>
      </c>
      <c r="C19" s="45">
        <v>2</v>
      </c>
      <c r="D19" s="45">
        <v>2</v>
      </c>
      <c r="E19" s="45"/>
      <c r="F19" s="45">
        <v>5</v>
      </c>
      <c r="G19" s="39">
        <f>(F19/6)</f>
        <v>0.83333333333333337</v>
      </c>
      <c r="H19" s="40">
        <f t="shared" si="0"/>
        <v>4.833333333333333</v>
      </c>
      <c r="I19" s="48">
        <v>390</v>
      </c>
      <c r="J19" s="41">
        <f t="shared" si="1"/>
        <v>80.689655172413794</v>
      </c>
      <c r="K19" s="45">
        <v>5</v>
      </c>
      <c r="L19" s="45">
        <v>3</v>
      </c>
      <c r="M19" s="45">
        <v>1</v>
      </c>
      <c r="N19" s="45">
        <v>1</v>
      </c>
      <c r="O19" s="49">
        <f t="shared" si="2"/>
        <v>0.20689655172413796</v>
      </c>
      <c r="P19" s="49">
        <f t="shared" si="3"/>
        <v>1.0344827586206897</v>
      </c>
      <c r="Q19" s="49"/>
      <c r="R19" s="50"/>
    </row>
    <row r="20" spans="1:18">
      <c r="A20" s="38"/>
      <c r="B20" s="36"/>
      <c r="C20" s="36"/>
      <c r="D20" s="36"/>
      <c r="E20" s="36"/>
      <c r="F20" s="36"/>
      <c r="G20" s="39"/>
      <c r="H20" s="40"/>
      <c r="I20" s="41"/>
      <c r="J20" s="41"/>
      <c r="K20" s="36"/>
      <c r="L20" s="36"/>
      <c r="M20" s="36"/>
      <c r="N20" s="36"/>
      <c r="O20" s="42"/>
      <c r="P20" s="42"/>
      <c r="Q20" s="42"/>
      <c r="R20" s="43"/>
    </row>
    <row r="21" spans="1:18">
      <c r="A21" s="38" t="s">
        <v>52</v>
      </c>
      <c r="B21" s="36" t="s">
        <v>53</v>
      </c>
      <c r="C21" s="36">
        <v>8</v>
      </c>
      <c r="D21" s="36">
        <v>0</v>
      </c>
      <c r="E21" s="36">
        <v>1</v>
      </c>
      <c r="F21" s="36">
        <v>9</v>
      </c>
      <c r="G21" s="39">
        <f t="shared" ref="G21:G26" si="6">(F21/6)</f>
        <v>1.5</v>
      </c>
      <c r="H21" s="40">
        <f t="shared" ref="H21:H26" si="7">SUM(C21:E21)+G21</f>
        <v>10.5</v>
      </c>
      <c r="I21" s="41">
        <v>979</v>
      </c>
      <c r="J21" s="41">
        <f t="shared" si="1"/>
        <v>93.238095238095241</v>
      </c>
      <c r="K21" s="36">
        <f t="shared" ref="K21:K26" si="8">SUM(L21:N21)</f>
        <v>262</v>
      </c>
      <c r="L21" s="36">
        <v>115</v>
      </c>
      <c r="M21" s="36">
        <v>54</v>
      </c>
      <c r="N21" s="36">
        <v>93</v>
      </c>
      <c r="O21" s="42">
        <f>N21/H21</f>
        <v>8.8571428571428577</v>
      </c>
      <c r="P21" s="42">
        <f t="shared" ref="P21:P26" si="9">K21/H21</f>
        <v>24.952380952380953</v>
      </c>
      <c r="Q21" s="42">
        <f t="shared" ref="Q21:Q26" si="10">(I21/8.5)/H21</f>
        <v>10.969187675070028</v>
      </c>
      <c r="R21" s="43">
        <f t="shared" ref="R21:R26" si="11">I21/((H21*0.95)*6)</f>
        <v>16.357560568086885</v>
      </c>
    </row>
    <row r="22" spans="1:18">
      <c r="A22" s="38" t="s">
        <v>54</v>
      </c>
      <c r="B22" s="36" t="s">
        <v>53</v>
      </c>
      <c r="C22" s="36">
        <v>5</v>
      </c>
      <c r="D22" s="36">
        <v>0</v>
      </c>
      <c r="E22" s="36">
        <v>1</v>
      </c>
      <c r="F22" s="36">
        <v>3</v>
      </c>
      <c r="G22" s="39">
        <f t="shared" si="6"/>
        <v>0.5</v>
      </c>
      <c r="H22" s="40">
        <f t="shared" si="7"/>
        <v>6.5</v>
      </c>
      <c r="I22" s="41">
        <v>695.5</v>
      </c>
      <c r="J22" s="41">
        <f t="shared" si="1"/>
        <v>107</v>
      </c>
      <c r="K22" s="36">
        <f t="shared" si="8"/>
        <v>71</v>
      </c>
      <c r="L22" s="36">
        <v>20</v>
      </c>
      <c r="M22" s="36">
        <v>22</v>
      </c>
      <c r="N22" s="36">
        <v>29</v>
      </c>
      <c r="O22" s="42">
        <f>N22/H22</f>
        <v>4.4615384615384617</v>
      </c>
      <c r="P22" s="42">
        <f t="shared" si="9"/>
        <v>10.923076923076923</v>
      </c>
      <c r="Q22" s="42">
        <f t="shared" si="10"/>
        <v>12.588235294117649</v>
      </c>
      <c r="R22" s="43">
        <f t="shared" si="11"/>
        <v>18.771929824561404</v>
      </c>
    </row>
    <row r="23" spans="1:18">
      <c r="A23" s="38" t="s">
        <v>55</v>
      </c>
      <c r="B23" s="36" t="s">
        <v>53</v>
      </c>
      <c r="C23" s="36">
        <v>1.66</v>
      </c>
      <c r="D23" s="36">
        <v>1</v>
      </c>
      <c r="E23" s="36"/>
      <c r="F23" s="36">
        <v>2</v>
      </c>
      <c r="G23" s="39">
        <f t="shared" si="6"/>
        <v>0.33333333333333331</v>
      </c>
      <c r="H23" s="40">
        <f t="shared" si="7"/>
        <v>2.9933333333333336</v>
      </c>
      <c r="I23" s="41">
        <v>321</v>
      </c>
      <c r="J23" s="41">
        <f t="shared" si="1"/>
        <v>107.23830734966592</v>
      </c>
      <c r="K23" s="36">
        <f t="shared" si="8"/>
        <v>34</v>
      </c>
      <c r="L23" s="36">
        <v>11</v>
      </c>
      <c r="M23" s="36">
        <v>8</v>
      </c>
      <c r="N23" s="36">
        <v>15</v>
      </c>
      <c r="O23" s="42">
        <v>15</v>
      </c>
      <c r="P23" s="42">
        <f t="shared" si="9"/>
        <v>11.358574610244988</v>
      </c>
      <c r="Q23" s="42">
        <f t="shared" si="10"/>
        <v>12.616271452901872</v>
      </c>
      <c r="R23" s="43">
        <f t="shared" si="11"/>
        <v>18.813738131520335</v>
      </c>
    </row>
    <row r="24" spans="1:18">
      <c r="A24" s="38" t="s">
        <v>56</v>
      </c>
      <c r="B24" s="36" t="s">
        <v>53</v>
      </c>
      <c r="C24" s="36">
        <v>3</v>
      </c>
      <c r="D24" s="36">
        <v>4</v>
      </c>
      <c r="E24" s="36"/>
      <c r="F24" s="36">
        <v>2</v>
      </c>
      <c r="G24" s="39">
        <f t="shared" si="6"/>
        <v>0.33333333333333331</v>
      </c>
      <c r="H24" s="40">
        <f t="shared" si="7"/>
        <v>7.333333333333333</v>
      </c>
      <c r="I24" s="41">
        <v>666</v>
      </c>
      <c r="J24" s="41">
        <f t="shared" si="1"/>
        <v>90.818181818181827</v>
      </c>
      <c r="K24" s="36">
        <f t="shared" si="8"/>
        <v>63</v>
      </c>
      <c r="L24" s="36">
        <v>16</v>
      </c>
      <c r="M24" s="36">
        <v>21</v>
      </c>
      <c r="N24" s="36">
        <v>26</v>
      </c>
      <c r="O24" s="42">
        <f>N24/H24</f>
        <v>3.5454545454545454</v>
      </c>
      <c r="P24" s="42">
        <f t="shared" si="9"/>
        <v>8.5909090909090917</v>
      </c>
      <c r="Q24" s="42">
        <f t="shared" si="10"/>
        <v>10.684491978609627</v>
      </c>
      <c r="R24" s="43">
        <f t="shared" si="11"/>
        <v>15.933014354066987</v>
      </c>
    </row>
    <row r="25" spans="1:18">
      <c r="A25" s="38" t="s">
        <v>57</v>
      </c>
      <c r="B25" s="36" t="s">
        <v>53</v>
      </c>
      <c r="C25" s="36">
        <v>5</v>
      </c>
      <c r="D25" s="36">
        <v>0</v>
      </c>
      <c r="E25" s="36"/>
      <c r="F25" s="36">
        <v>5</v>
      </c>
      <c r="G25" s="39">
        <f t="shared" si="6"/>
        <v>0.83333333333333337</v>
      </c>
      <c r="H25" s="40">
        <f t="shared" si="7"/>
        <v>5.833333333333333</v>
      </c>
      <c r="I25" s="41">
        <v>444</v>
      </c>
      <c r="J25" s="41">
        <f t="shared" si="1"/>
        <v>76.114285714285714</v>
      </c>
      <c r="K25" s="36">
        <f t="shared" si="8"/>
        <v>36</v>
      </c>
      <c r="L25" s="36">
        <v>11</v>
      </c>
      <c r="M25" s="36">
        <v>3</v>
      </c>
      <c r="N25" s="36">
        <v>22</v>
      </c>
      <c r="O25" s="42">
        <f>N25/H25</f>
        <v>3.7714285714285718</v>
      </c>
      <c r="P25" s="42">
        <f t="shared" si="9"/>
        <v>6.1714285714285717</v>
      </c>
      <c r="Q25" s="42">
        <f t="shared" si="10"/>
        <v>8.954621848739496</v>
      </c>
      <c r="R25" s="43">
        <f t="shared" si="11"/>
        <v>13.353383458646617</v>
      </c>
    </row>
    <row r="26" spans="1:18">
      <c r="A26" s="38" t="s">
        <v>58</v>
      </c>
      <c r="B26" s="36" t="s">
        <v>53</v>
      </c>
      <c r="C26" s="36">
        <v>7</v>
      </c>
      <c r="D26" s="36">
        <v>2</v>
      </c>
      <c r="E26" s="36"/>
      <c r="F26" s="36">
        <v>4</v>
      </c>
      <c r="G26" s="39">
        <f t="shared" si="6"/>
        <v>0.66666666666666663</v>
      </c>
      <c r="H26" s="40">
        <f t="shared" si="7"/>
        <v>9.6666666666666661</v>
      </c>
      <c r="I26" s="41">
        <v>1151</v>
      </c>
      <c r="J26" s="41">
        <f t="shared" si="1"/>
        <v>119.06896551724138</v>
      </c>
      <c r="K26" s="36">
        <f t="shared" si="8"/>
        <v>201</v>
      </c>
      <c r="L26" s="36">
        <v>43</v>
      </c>
      <c r="M26" s="36">
        <v>41</v>
      </c>
      <c r="N26" s="36">
        <v>117</v>
      </c>
      <c r="O26" s="42">
        <f>N26/H26</f>
        <v>12.103448275862069</v>
      </c>
      <c r="P26" s="42">
        <f t="shared" si="9"/>
        <v>20.793103448275865</v>
      </c>
      <c r="Q26" s="42">
        <f t="shared" si="10"/>
        <v>14.008113590263692</v>
      </c>
      <c r="R26" s="43">
        <f t="shared" si="11"/>
        <v>20.889292196007261</v>
      </c>
    </row>
    <row r="27" spans="1:18">
      <c r="A27" s="38"/>
      <c r="B27" s="36"/>
      <c r="C27" s="36"/>
      <c r="D27" s="36"/>
      <c r="E27" s="36"/>
      <c r="F27" s="36"/>
      <c r="G27" s="39"/>
      <c r="H27" s="40"/>
      <c r="I27" s="41"/>
      <c r="J27" s="41"/>
      <c r="K27" s="36"/>
      <c r="L27" s="36"/>
      <c r="M27" s="36"/>
      <c r="N27" s="36"/>
      <c r="O27" s="42"/>
      <c r="P27" s="42"/>
      <c r="Q27" s="42"/>
      <c r="R27" s="43"/>
    </row>
    <row r="28" spans="1:18">
      <c r="A28" s="38" t="s">
        <v>59</v>
      </c>
      <c r="B28" s="36" t="s">
        <v>60</v>
      </c>
      <c r="C28" s="36">
        <v>3.5</v>
      </c>
      <c r="D28" s="36">
        <v>2</v>
      </c>
      <c r="E28" s="36"/>
      <c r="F28" s="36">
        <v>3.5</v>
      </c>
      <c r="G28" s="39">
        <f>(F28/6)</f>
        <v>0.58333333333333337</v>
      </c>
      <c r="H28" s="40">
        <f>SUM(C28:E28)+G28</f>
        <v>6.083333333333333</v>
      </c>
      <c r="I28" s="41">
        <v>442</v>
      </c>
      <c r="J28" s="41">
        <f t="shared" si="1"/>
        <v>72.657534246575352</v>
      </c>
      <c r="K28" s="36">
        <f>SUM(L28:N28)</f>
        <v>62</v>
      </c>
      <c r="L28" s="36">
        <v>11</v>
      </c>
      <c r="M28" s="36">
        <v>14</v>
      </c>
      <c r="N28" s="36">
        <v>37</v>
      </c>
      <c r="O28" s="42">
        <f>N28/H28</f>
        <v>6.0821917808219181</v>
      </c>
      <c r="P28" s="42">
        <f>K28/H28</f>
        <v>10.191780821917808</v>
      </c>
      <c r="Q28" s="42">
        <f>(I28/8.5)/H28</f>
        <v>8.5479452054794525</v>
      </c>
      <c r="R28" s="43">
        <f>I28/((H28*0.95)*6)</f>
        <v>12.746935832732516</v>
      </c>
    </row>
    <row r="29" spans="1:18">
      <c r="A29" s="38" t="s">
        <v>61</v>
      </c>
      <c r="B29" s="36" t="s">
        <v>60</v>
      </c>
      <c r="C29" s="36">
        <v>7</v>
      </c>
      <c r="D29" s="36"/>
      <c r="E29" s="36"/>
      <c r="F29" s="36">
        <v>3</v>
      </c>
      <c r="G29" s="39">
        <f>(F29/6)</f>
        <v>0.5</v>
      </c>
      <c r="H29" s="40">
        <f>SUM(C29:E29)+G29</f>
        <v>7.5</v>
      </c>
      <c r="I29" s="41">
        <v>734</v>
      </c>
      <c r="J29" s="41">
        <f t="shared" si="1"/>
        <v>97.86666666666666</v>
      </c>
      <c r="K29" s="36">
        <f>SUM(L29:N29)</f>
        <v>67</v>
      </c>
      <c r="L29" s="36">
        <v>11</v>
      </c>
      <c r="M29" s="36">
        <v>18</v>
      </c>
      <c r="N29" s="36">
        <v>38</v>
      </c>
      <c r="O29" s="42">
        <f>N29/H29</f>
        <v>5.0666666666666664</v>
      </c>
      <c r="P29" s="42">
        <f>K29/H29</f>
        <v>8.9333333333333336</v>
      </c>
      <c r="Q29" s="42">
        <f>(I29/8.5)/H29</f>
        <v>11.513725490196078</v>
      </c>
      <c r="R29" s="43">
        <f>I29/((H29*0.95)*6)</f>
        <v>17.169590643274855</v>
      </c>
    </row>
    <row r="30" spans="1:18">
      <c r="A30" s="38" t="s">
        <v>62</v>
      </c>
      <c r="B30" s="36" t="s">
        <v>60</v>
      </c>
      <c r="C30" s="36">
        <v>7</v>
      </c>
      <c r="D30" s="36">
        <v>0</v>
      </c>
      <c r="E30" s="36"/>
      <c r="F30" s="36">
        <v>1</v>
      </c>
      <c r="G30" s="39">
        <f>(F30/6)</f>
        <v>0.16666666666666666</v>
      </c>
      <c r="H30" s="40">
        <f>SUM(C30:E30)+G30</f>
        <v>7.166666666666667</v>
      </c>
      <c r="I30" s="41">
        <v>602</v>
      </c>
      <c r="J30" s="41">
        <f t="shared" si="1"/>
        <v>84</v>
      </c>
      <c r="K30" s="36">
        <f>SUM(L30:N30)</f>
        <v>64</v>
      </c>
      <c r="L30" s="36">
        <v>9</v>
      </c>
      <c r="M30" s="36">
        <v>15</v>
      </c>
      <c r="N30" s="36">
        <v>40</v>
      </c>
      <c r="O30" s="42">
        <f>N30/H30</f>
        <v>5.5813953488372094</v>
      </c>
      <c r="P30" s="42">
        <f>K30/H30</f>
        <v>8.9302325581395348</v>
      </c>
      <c r="Q30" s="42">
        <f>(I30/8.5)/H30</f>
        <v>9.882352941176471</v>
      </c>
      <c r="R30" s="43">
        <f>I30/((H30*0.95)*6)</f>
        <v>14.736842105263158</v>
      </c>
    </row>
    <row r="31" spans="1:18">
      <c r="A31" s="52" t="s">
        <v>63</v>
      </c>
      <c r="B31" s="53" t="s">
        <v>60</v>
      </c>
      <c r="C31" s="53">
        <v>4</v>
      </c>
      <c r="D31" s="53">
        <v>0</v>
      </c>
      <c r="E31" s="53"/>
      <c r="F31" s="53">
        <v>7</v>
      </c>
      <c r="G31" s="54">
        <f>(F31/6)</f>
        <v>1.1666666666666667</v>
      </c>
      <c r="H31" s="55">
        <f>SUM(C31:E31)+G31</f>
        <v>5.166666666666667</v>
      </c>
      <c r="I31" s="56">
        <v>506</v>
      </c>
      <c r="J31" s="41">
        <f t="shared" si="1"/>
        <v>97.93548387096773</v>
      </c>
      <c r="K31" s="53">
        <v>52</v>
      </c>
      <c r="L31" s="53">
        <v>3</v>
      </c>
      <c r="M31" s="53">
        <v>13</v>
      </c>
      <c r="N31" s="53">
        <v>36</v>
      </c>
      <c r="O31" s="57">
        <f>N31/H31</f>
        <v>6.967741935483871</v>
      </c>
      <c r="P31" s="42">
        <f>K31/H31</f>
        <v>10.064516129032258</v>
      </c>
      <c r="Q31" s="57">
        <f>(I31/8.5)/H31</f>
        <v>11.521821631878558</v>
      </c>
      <c r="R31" s="58">
        <f>I31/((H31*0.95)*6)</f>
        <v>17.181663837011886</v>
      </c>
    </row>
    <row r="32" spans="1:18">
      <c r="A32" s="52" t="s">
        <v>64</v>
      </c>
      <c r="B32" s="53" t="s">
        <v>60</v>
      </c>
      <c r="C32" s="53">
        <v>2</v>
      </c>
      <c r="D32" s="53">
        <v>0</v>
      </c>
      <c r="E32" s="53"/>
      <c r="F32" s="53">
        <v>3</v>
      </c>
      <c r="G32" s="54">
        <f>(F32/6)</f>
        <v>0.5</v>
      </c>
      <c r="H32" s="55">
        <f>SUM(C32:E32)+G32</f>
        <v>2.5</v>
      </c>
      <c r="I32" s="56">
        <v>242</v>
      </c>
      <c r="J32" s="41">
        <f t="shared" si="1"/>
        <v>96.8</v>
      </c>
      <c r="K32" s="53">
        <v>18</v>
      </c>
      <c r="L32" s="53">
        <v>2</v>
      </c>
      <c r="M32" s="53">
        <v>4</v>
      </c>
      <c r="N32" s="53">
        <v>12</v>
      </c>
      <c r="O32" s="42">
        <f>N32/H32</f>
        <v>4.8</v>
      </c>
      <c r="P32" s="42">
        <f>K32/H32</f>
        <v>7.2</v>
      </c>
      <c r="Q32" s="57">
        <f>(I32/8.5)/H32</f>
        <v>11.388235294117646</v>
      </c>
      <c r="R32" s="58">
        <f>I32/((H32*0.95)*6)</f>
        <v>16.982456140350877</v>
      </c>
    </row>
    <row r="33" spans="1:18" ht="16" thickBot="1">
      <c r="A33" s="27"/>
      <c r="B33" s="28"/>
      <c r="C33" s="29"/>
      <c r="D33" s="29"/>
      <c r="E33" s="29"/>
      <c r="F33" s="29"/>
      <c r="G33" s="59"/>
      <c r="H33" s="60"/>
      <c r="I33" s="61"/>
      <c r="J33" s="61"/>
      <c r="K33" s="62"/>
      <c r="L33" s="62"/>
      <c r="M33" s="62"/>
      <c r="N33" s="62"/>
      <c r="O33" s="63"/>
      <c r="P33" s="63"/>
      <c r="Q33" s="63"/>
      <c r="R33" s="64"/>
    </row>
    <row r="34" spans="1:18" ht="16" thickBot="1">
      <c r="A34" s="65" t="s">
        <v>65</v>
      </c>
      <c r="B34" s="66"/>
      <c r="C34" s="67">
        <f>SUM(C9:C32)</f>
        <v>100.46</v>
      </c>
      <c r="D34" s="67">
        <f>SUM(D9:D32)</f>
        <v>22</v>
      </c>
      <c r="E34" s="67">
        <f>SUM(E9:E32)</f>
        <v>2</v>
      </c>
      <c r="F34" s="67"/>
      <c r="G34" s="68">
        <f>SUM(G9:G32)</f>
        <v>16.916666666666671</v>
      </c>
      <c r="H34" s="69">
        <f>SUM(C34:G34)</f>
        <v>141.37666666666667</v>
      </c>
      <c r="I34" s="70">
        <f>SUM(I9:I32)</f>
        <v>13776.5</v>
      </c>
      <c r="J34" s="70">
        <f>I34/H34</f>
        <v>97.445358734350322</v>
      </c>
      <c r="K34" s="71">
        <f>SUM(K9:K32)</f>
        <v>1679</v>
      </c>
      <c r="L34" s="72">
        <f>SUM(L9:L32)</f>
        <v>396</v>
      </c>
      <c r="M34" s="72">
        <f>SUM(M9:M32)</f>
        <v>382</v>
      </c>
      <c r="N34" s="71">
        <f>SUM(N9:N32)</f>
        <v>891</v>
      </c>
      <c r="O34" s="73">
        <f>N34/H34</f>
        <v>6.3023129700799281</v>
      </c>
      <c r="P34" s="73">
        <f>K34/H34</f>
        <v>11.876075731497419</v>
      </c>
      <c r="Q34" s="73">
        <f>(I34/8.5)/H34</f>
        <v>11.464159851100037</v>
      </c>
      <c r="R34" s="74">
        <f>I34/((H34*0.95)*6)</f>
        <v>17.095676970938651</v>
      </c>
    </row>
    <row r="35" spans="1:18" ht="16" thickBot="1">
      <c r="A35" s="75"/>
      <c r="B35" s="2"/>
      <c r="C35" s="4"/>
      <c r="D35" s="4"/>
      <c r="E35" s="4"/>
      <c r="F35" s="4"/>
      <c r="G35" s="76"/>
      <c r="H35" s="77"/>
      <c r="I35" s="78"/>
      <c r="J35" s="78"/>
      <c r="K35" s="79"/>
      <c r="L35" s="79"/>
      <c r="M35" s="79"/>
      <c r="N35" s="79"/>
      <c r="O35" s="80"/>
      <c r="P35" s="80"/>
      <c r="Q35" s="80"/>
      <c r="R35" s="80"/>
    </row>
    <row r="36" spans="1:18" ht="16" thickBot="1">
      <c r="A36" s="81" t="s">
        <v>66</v>
      </c>
      <c r="B36" s="82"/>
      <c r="C36" s="83"/>
      <c r="D36" s="83"/>
      <c r="E36" s="83"/>
      <c r="F36" s="83"/>
      <c r="G36" s="84"/>
      <c r="H36" s="83"/>
      <c r="I36" s="84"/>
      <c r="J36" s="84"/>
      <c r="K36" s="85"/>
      <c r="L36" s="85"/>
      <c r="M36" s="85"/>
      <c r="N36" s="85"/>
      <c r="O36" s="86"/>
      <c r="P36" s="86"/>
      <c r="Q36" s="86"/>
      <c r="R36" s="87"/>
    </row>
    <row r="37" spans="1:18" ht="16" thickBot="1">
      <c r="A37" s="88" t="s">
        <v>67</v>
      </c>
      <c r="B37" s="8"/>
      <c r="C37" s="9">
        <v>5</v>
      </c>
      <c r="D37" s="9">
        <v>0</v>
      </c>
      <c r="E37" s="9"/>
      <c r="F37" s="9">
        <v>7</v>
      </c>
      <c r="G37" s="89">
        <f>(F37/6)</f>
        <v>1.1666666666666667</v>
      </c>
      <c r="H37" s="90">
        <f>SUM(C37:E37)+G37</f>
        <v>6.166666666666667</v>
      </c>
      <c r="I37" s="91">
        <v>371</v>
      </c>
      <c r="J37" s="91">
        <f>I37/H37</f>
        <v>60.162162162162161</v>
      </c>
      <c r="K37" s="9">
        <f>SUM(L37:N37)</f>
        <v>45</v>
      </c>
      <c r="L37" s="9">
        <v>9</v>
      </c>
      <c r="M37" s="92">
        <v>7</v>
      </c>
      <c r="N37" s="9">
        <v>29</v>
      </c>
      <c r="O37" s="93">
        <f>N37/H37</f>
        <v>4.7027027027027026</v>
      </c>
      <c r="P37" s="93">
        <f>K37/H37</f>
        <v>7.2972972972972974</v>
      </c>
      <c r="Q37" s="93">
        <f>(I37/8.5)/H37</f>
        <v>7.0779014308426076</v>
      </c>
      <c r="R37" s="94">
        <f>I37/((H37*0.95)*6)</f>
        <v>10.554765291607398</v>
      </c>
    </row>
    <row r="38" spans="1:18" ht="16" thickBot="1">
      <c r="A38" s="95" t="s">
        <v>68</v>
      </c>
      <c r="B38" s="14"/>
      <c r="C38" s="36">
        <v>15</v>
      </c>
      <c r="D38" s="36"/>
      <c r="E38" s="36">
        <v>3</v>
      </c>
      <c r="F38" s="96">
        <v>86</v>
      </c>
      <c r="G38" s="39">
        <f>(F38/6)</f>
        <v>14.333333333333334</v>
      </c>
      <c r="H38" s="40">
        <f>SUM(C38:E38)+G38</f>
        <v>32.333333333333336</v>
      </c>
      <c r="I38" s="97">
        <v>1034.75</v>
      </c>
      <c r="J38" s="91">
        <f>I38/H38</f>
        <v>32.00257731958763</v>
      </c>
      <c r="K38" s="36">
        <f>SUM(L38:N38)</f>
        <v>141</v>
      </c>
      <c r="L38" s="36">
        <v>31</v>
      </c>
      <c r="M38" s="98">
        <v>36</v>
      </c>
      <c r="N38" s="36">
        <v>74</v>
      </c>
      <c r="O38" s="42">
        <f>N38/H38</f>
        <v>2.2886597938144329</v>
      </c>
      <c r="P38" s="42">
        <f>K38/H38</f>
        <v>4.3608247422680408</v>
      </c>
      <c r="Q38" s="42">
        <f>(I38/8.5)/H38</f>
        <v>3.7650090964220735</v>
      </c>
      <c r="R38" s="43">
        <f>I38/((H38*0.95)*6)</f>
        <v>5.6144872490504607</v>
      </c>
    </row>
    <row r="39" spans="1:18" ht="16" thickBot="1">
      <c r="A39" s="95" t="s">
        <v>69</v>
      </c>
      <c r="B39" s="14"/>
      <c r="C39" s="36">
        <v>7</v>
      </c>
      <c r="D39" s="36">
        <v>1</v>
      </c>
      <c r="E39" s="36">
        <v>1</v>
      </c>
      <c r="F39" s="36">
        <v>31</v>
      </c>
      <c r="G39" s="39">
        <f>(F39/6)</f>
        <v>5.166666666666667</v>
      </c>
      <c r="H39" s="40">
        <f>SUM(C39:E39)+G39</f>
        <v>14.166666666666668</v>
      </c>
      <c r="I39" s="99">
        <v>841</v>
      </c>
      <c r="J39" s="91">
        <f>I39/H39</f>
        <v>59.364705882352936</v>
      </c>
      <c r="K39" s="36">
        <f>SUM(L39:N39)</f>
        <v>151</v>
      </c>
      <c r="L39" s="36">
        <v>42</v>
      </c>
      <c r="M39" s="98">
        <v>35</v>
      </c>
      <c r="N39" s="36">
        <v>74</v>
      </c>
      <c r="O39" s="42">
        <f>N39/H39</f>
        <v>5.2235294117647051</v>
      </c>
      <c r="P39" s="42">
        <f>K39/H39</f>
        <v>10.658823529411764</v>
      </c>
      <c r="Q39" s="42">
        <f>(I39/8.5)/H39</f>
        <v>6.9840830449826985</v>
      </c>
      <c r="R39" s="43">
        <f>I39/((H39*0.95)*6)</f>
        <v>10.414860681114551</v>
      </c>
    </row>
    <row r="40" spans="1:18" ht="93" thickBot="1">
      <c r="A40" s="100" t="s">
        <v>70</v>
      </c>
      <c r="B40" s="101"/>
      <c r="C40" s="102">
        <v>6</v>
      </c>
      <c r="D40" s="102">
        <v>2</v>
      </c>
      <c r="E40" s="102">
        <f>1</f>
        <v>1</v>
      </c>
      <c r="F40" s="103">
        <v>50</v>
      </c>
      <c r="G40" s="104">
        <f>(F40/6)</f>
        <v>8.3333333333333339</v>
      </c>
      <c r="H40" s="105">
        <f>SUM(C40:E40)+G40</f>
        <v>17.333333333333336</v>
      </c>
      <c r="I40" s="106">
        <v>744.5</v>
      </c>
      <c r="J40" s="91">
        <f>I40/H40</f>
        <v>42.951923076923073</v>
      </c>
      <c r="K40" s="102">
        <f>SUM(L40:N40)</f>
        <v>99</v>
      </c>
      <c r="L40" s="102">
        <v>27</v>
      </c>
      <c r="M40" s="107">
        <v>26</v>
      </c>
      <c r="N40" s="102">
        <v>46</v>
      </c>
      <c r="O40" s="108">
        <f>N40/H40</f>
        <v>2.6538461538461533</v>
      </c>
      <c r="P40" s="108">
        <f>K40/H40</f>
        <v>5.7115384615384608</v>
      </c>
      <c r="Q40" s="108">
        <f>(I40/8.5)/H40</f>
        <v>5.0531674208144794</v>
      </c>
      <c r="R40" s="109">
        <f>I40/((H40*0.95)*6)</f>
        <v>7.5354251012145737</v>
      </c>
    </row>
    <row r="41" spans="1:18" ht="16" thickBot="1">
      <c r="A41" s="110"/>
      <c r="B41" s="28"/>
      <c r="C41" s="29"/>
      <c r="D41" s="29"/>
      <c r="E41" s="29"/>
      <c r="F41" s="29"/>
      <c r="G41" s="59"/>
      <c r="H41" s="60"/>
      <c r="I41" s="111"/>
      <c r="J41" s="111"/>
      <c r="K41" s="62"/>
      <c r="L41" s="62"/>
      <c r="M41" s="62"/>
      <c r="N41" s="62"/>
      <c r="O41" s="63"/>
      <c r="P41" s="63"/>
      <c r="Q41" s="63"/>
      <c r="R41" s="64"/>
    </row>
    <row r="42" spans="1:18" ht="16" thickBot="1">
      <c r="A42" s="112" t="s">
        <v>71</v>
      </c>
      <c r="B42" s="113"/>
      <c r="C42" s="114">
        <f>SUM(C37:C40)</f>
        <v>33</v>
      </c>
      <c r="D42" s="114"/>
      <c r="E42" s="114">
        <f>SUM(E37:E40)</f>
        <v>5</v>
      </c>
      <c r="F42" s="114"/>
      <c r="G42" s="115">
        <f>SUM(G37:G40)</f>
        <v>29</v>
      </c>
      <c r="H42" s="116">
        <f>SUM(C42:G42)</f>
        <v>67</v>
      </c>
      <c r="I42" s="117">
        <f>SUM(I37:I40)</f>
        <v>2991.25</v>
      </c>
      <c r="J42" s="117">
        <f>I42/H42</f>
        <v>44.645522388059703</v>
      </c>
      <c r="K42" s="118">
        <f>SUM(K37:K40)</f>
        <v>436</v>
      </c>
      <c r="L42" s="118">
        <f>SUM(L37:L40)</f>
        <v>109</v>
      </c>
      <c r="M42" s="118">
        <f>SUM(M37:M40)</f>
        <v>104</v>
      </c>
      <c r="N42" s="118">
        <f>SUM(N37:N40)</f>
        <v>223</v>
      </c>
      <c r="O42" s="119">
        <f>N42/H42</f>
        <v>3.3283582089552239</v>
      </c>
      <c r="P42" s="119">
        <f>K42/H42</f>
        <v>6.5074626865671643</v>
      </c>
      <c r="Q42" s="119">
        <f>(I42/8.5)/H42</f>
        <v>5.2524143985952589</v>
      </c>
      <c r="R42" s="120">
        <f>I42/((H42*0.95)*6)</f>
        <v>7.8325477873788953</v>
      </c>
    </row>
    <row r="43" spans="1:18" ht="16" thickBot="1">
      <c r="A43" s="2"/>
      <c r="B43" s="2"/>
      <c r="C43" s="4"/>
      <c r="D43" s="4"/>
      <c r="E43" s="4"/>
      <c r="F43" s="4"/>
      <c r="G43" s="78"/>
      <c r="H43" s="4"/>
      <c r="I43" s="78"/>
      <c r="J43" s="78"/>
      <c r="K43" s="79"/>
      <c r="L43" s="79"/>
      <c r="M43" s="79"/>
      <c r="N43" s="79"/>
      <c r="O43" s="121"/>
      <c r="P43" s="122"/>
      <c r="Q43" s="121"/>
      <c r="R43" s="121"/>
    </row>
    <row r="44" spans="1:18" ht="16" thickBot="1">
      <c r="A44" s="112" t="s">
        <v>72</v>
      </c>
      <c r="B44" s="113"/>
      <c r="C44" s="123">
        <f>C34+C42</f>
        <v>133.45999999999998</v>
      </c>
      <c r="D44" s="123">
        <f>D34+D42</f>
        <v>22</v>
      </c>
      <c r="E44" s="123">
        <f>E34+E42</f>
        <v>7</v>
      </c>
      <c r="F44" s="123"/>
      <c r="G44" s="124">
        <f t="shared" ref="G44:N44" si="12">G34+G42</f>
        <v>45.916666666666671</v>
      </c>
      <c r="H44" s="124">
        <f t="shared" si="12"/>
        <v>208.37666666666667</v>
      </c>
      <c r="I44" s="124">
        <f t="shared" si="12"/>
        <v>16767.75</v>
      </c>
      <c r="J44" s="124">
        <f>(I34+I42)/(H34+H42)</f>
        <v>80.468462559787568</v>
      </c>
      <c r="K44" s="125">
        <f t="shared" si="12"/>
        <v>2115</v>
      </c>
      <c r="L44" s="125">
        <f t="shared" si="12"/>
        <v>505</v>
      </c>
      <c r="M44" s="125">
        <f t="shared" si="12"/>
        <v>486</v>
      </c>
      <c r="N44" s="125">
        <f t="shared" si="12"/>
        <v>1114</v>
      </c>
      <c r="O44" s="119">
        <f>N44/H44</f>
        <v>5.3460880136931515</v>
      </c>
      <c r="P44" s="119">
        <f>K44/H44</f>
        <v>10.14988882312479</v>
      </c>
      <c r="Q44" s="119">
        <f>(I44/8.5)/H44</f>
        <v>9.4668779482103016</v>
      </c>
      <c r="R44" s="120">
        <f>I44/((H44*0.95)*6)</f>
        <v>14.117274133296066</v>
      </c>
    </row>
    <row r="45" spans="1:18">
      <c r="A45" s="2"/>
      <c r="B45" s="2"/>
      <c r="C45" s="4"/>
      <c r="D45" s="4"/>
      <c r="E45" s="4"/>
      <c r="F45" s="4"/>
      <c r="G45" s="4"/>
      <c r="H45" s="4"/>
      <c r="I45" s="4"/>
      <c r="J45" s="4"/>
      <c r="K45" s="4"/>
      <c r="L45" s="4"/>
      <c r="M45" s="4"/>
      <c r="N45" s="4"/>
      <c r="O45" s="4"/>
      <c r="P45" s="4"/>
      <c r="Q45" s="4"/>
      <c r="R45" s="4"/>
    </row>
    <row r="46" spans="1:18">
      <c r="A46" s="126" t="s">
        <v>73</v>
      </c>
      <c r="B46" s="127"/>
      <c r="C46" s="128"/>
      <c r="D46" s="128"/>
      <c r="E46" s="128"/>
      <c r="F46" s="128"/>
      <c r="G46" s="128"/>
      <c r="H46" s="128"/>
      <c r="I46" s="128"/>
      <c r="J46" s="128"/>
      <c r="K46" s="128"/>
      <c r="L46" s="128"/>
      <c r="M46" s="128"/>
      <c r="N46" s="128"/>
      <c r="O46" s="128"/>
      <c r="P46" s="128"/>
      <c r="Q46" s="128"/>
      <c r="R46" s="129"/>
    </row>
    <row r="47" spans="1:18">
      <c r="A47" s="259" t="s">
        <v>74</v>
      </c>
      <c r="B47" s="260"/>
      <c r="C47" s="260"/>
      <c r="D47" s="260"/>
      <c r="E47" s="260"/>
      <c r="F47" s="260"/>
      <c r="G47" s="260"/>
      <c r="H47" s="260"/>
      <c r="I47" s="260"/>
      <c r="J47" s="260"/>
      <c r="K47" s="260"/>
      <c r="L47" s="260"/>
      <c r="M47" s="260"/>
      <c r="N47" s="260"/>
      <c r="O47" s="260"/>
      <c r="P47" s="260"/>
      <c r="Q47" s="260"/>
      <c r="R47" s="261"/>
    </row>
    <row r="48" spans="1:18">
      <c r="A48" s="130" t="s">
        <v>75</v>
      </c>
      <c r="B48" s="131"/>
      <c r="C48" s="131"/>
      <c r="D48" s="131"/>
      <c r="E48" s="131"/>
      <c r="F48" s="131"/>
      <c r="G48" s="131"/>
      <c r="H48" s="131"/>
      <c r="I48" s="131"/>
      <c r="J48" s="131"/>
      <c r="K48" s="131"/>
      <c r="L48" s="131"/>
      <c r="M48" s="131"/>
      <c r="N48" s="131"/>
      <c r="O48" s="131"/>
      <c r="P48" s="131"/>
      <c r="Q48" s="131"/>
      <c r="R48" s="132"/>
    </row>
    <row r="49" spans="1:18">
      <c r="A49" s="259" t="s">
        <v>76</v>
      </c>
      <c r="B49" s="260"/>
      <c r="C49" s="260"/>
      <c r="D49" s="260"/>
      <c r="E49" s="260"/>
      <c r="F49" s="260"/>
      <c r="G49" s="260"/>
      <c r="H49" s="260"/>
      <c r="I49" s="260"/>
      <c r="J49" s="260"/>
      <c r="K49" s="260"/>
      <c r="L49" s="260"/>
      <c r="M49" s="260"/>
      <c r="N49" s="260"/>
      <c r="O49" s="260"/>
      <c r="P49" s="260"/>
      <c r="Q49" s="260"/>
      <c r="R49" s="261"/>
    </row>
    <row r="50" spans="1:18">
      <c r="A50" s="133" t="s">
        <v>77</v>
      </c>
      <c r="B50" s="134"/>
      <c r="C50" s="134"/>
      <c r="D50" s="134"/>
      <c r="E50" s="134"/>
      <c r="F50" s="134"/>
      <c r="G50" s="134"/>
      <c r="H50" s="134"/>
      <c r="I50" s="62"/>
      <c r="J50" s="62"/>
      <c r="K50" s="62"/>
      <c r="L50" s="62"/>
      <c r="M50" s="62"/>
      <c r="N50" s="134"/>
      <c r="O50" s="134"/>
      <c r="P50" s="134"/>
      <c r="Q50" s="62"/>
      <c r="R50" s="135"/>
    </row>
    <row r="51" spans="1:18">
      <c r="A51" s="259" t="s">
        <v>78</v>
      </c>
      <c r="B51" s="260"/>
      <c r="C51" s="260"/>
      <c r="D51" s="260"/>
      <c r="E51" s="260"/>
      <c r="F51" s="260"/>
      <c r="G51" s="260"/>
      <c r="H51" s="260"/>
      <c r="I51" s="260"/>
      <c r="J51" s="260"/>
      <c r="K51" s="260"/>
      <c r="L51" s="260"/>
      <c r="M51" s="260"/>
      <c r="N51" s="260"/>
      <c r="O51" s="260"/>
      <c r="P51" s="260"/>
      <c r="Q51" s="260"/>
      <c r="R51" s="261"/>
    </row>
    <row r="52" spans="1:18" ht="13" customHeight="1">
      <c r="A52" s="136"/>
      <c r="B52" s="137"/>
      <c r="C52" s="137"/>
      <c r="D52" s="137"/>
      <c r="E52" s="137"/>
      <c r="F52" s="137"/>
      <c r="G52" s="137"/>
      <c r="H52" s="137"/>
      <c r="I52" s="138"/>
      <c r="J52" s="138"/>
      <c r="K52" s="138"/>
      <c r="L52" s="138"/>
      <c r="M52" s="138"/>
      <c r="N52" s="137"/>
      <c r="O52" s="137"/>
      <c r="P52" s="137"/>
      <c r="Q52" s="138"/>
      <c r="R52" s="139"/>
    </row>
  </sheetData>
  <mergeCells count="5">
    <mergeCell ref="K2:R2"/>
    <mergeCell ref="K3:R3"/>
    <mergeCell ref="A47:R47"/>
    <mergeCell ref="A49:R49"/>
    <mergeCell ref="A51:R51"/>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workbookViewId="0">
      <selection sqref="A1:XFD1048576"/>
    </sheetView>
  </sheetViews>
  <sheetFormatPr baseColWidth="10" defaultRowHeight="15" x14ac:dyDescent="0"/>
  <sheetData>
    <row r="1" spans="1:18" ht="31" thickBot="1">
      <c r="A1" s="140"/>
      <c r="B1" s="2"/>
      <c r="C1" s="141"/>
      <c r="D1" s="142"/>
      <c r="E1" s="2"/>
      <c r="F1" s="2"/>
      <c r="G1" s="3" t="s">
        <v>81</v>
      </c>
      <c r="H1" s="2"/>
      <c r="I1" s="4"/>
      <c r="J1" s="4"/>
      <c r="K1" s="4"/>
      <c r="L1" s="4"/>
      <c r="M1" s="4"/>
      <c r="N1" s="2"/>
      <c r="O1" s="2"/>
      <c r="P1" s="2"/>
      <c r="Q1" s="4"/>
      <c r="R1" s="4"/>
    </row>
    <row r="2" spans="1:18">
      <c r="A2" s="5" t="s">
        <v>82</v>
      </c>
      <c r="B2" s="6"/>
      <c r="C2" s="7"/>
      <c r="D2" s="8"/>
      <c r="E2" s="8"/>
      <c r="F2" s="8"/>
      <c r="G2" s="8"/>
      <c r="H2" s="8"/>
      <c r="I2" s="9"/>
      <c r="J2" s="10"/>
      <c r="K2" s="253" t="s">
        <v>2</v>
      </c>
      <c r="L2" s="254"/>
      <c r="M2" s="254"/>
      <c r="N2" s="254"/>
      <c r="O2" s="254"/>
      <c r="P2" s="254"/>
      <c r="Q2" s="254"/>
      <c r="R2" s="255"/>
    </row>
    <row r="3" spans="1:18">
      <c r="A3" s="11"/>
      <c r="B3" s="12"/>
      <c r="C3" s="13"/>
      <c r="D3" s="14"/>
      <c r="E3" s="14"/>
      <c r="F3" s="14"/>
      <c r="G3" s="14"/>
      <c r="H3" s="13" t="s">
        <v>3</v>
      </c>
      <c r="I3" s="15" t="s">
        <v>4</v>
      </c>
      <c r="J3" s="13" t="s">
        <v>5</v>
      </c>
      <c r="K3" s="256" t="s">
        <v>83</v>
      </c>
      <c r="L3" s="257"/>
      <c r="M3" s="257"/>
      <c r="N3" s="257"/>
      <c r="O3" s="257"/>
      <c r="P3" s="257"/>
      <c r="Q3" s="257"/>
      <c r="R3" s="258"/>
    </row>
    <row r="4" spans="1:18">
      <c r="A4" s="16"/>
      <c r="B4" s="17"/>
      <c r="C4" s="18" t="s">
        <v>7</v>
      </c>
      <c r="D4" s="18" t="s">
        <v>8</v>
      </c>
      <c r="E4" s="18" t="s">
        <v>9</v>
      </c>
      <c r="F4" s="13" t="s">
        <v>10</v>
      </c>
      <c r="G4" s="13" t="s">
        <v>10</v>
      </c>
      <c r="H4" s="13" t="s">
        <v>11</v>
      </c>
      <c r="I4" s="13" t="s">
        <v>12</v>
      </c>
      <c r="J4" s="13" t="s">
        <v>13</v>
      </c>
      <c r="K4" s="13" t="s">
        <v>14</v>
      </c>
      <c r="L4" s="13" t="s">
        <v>14</v>
      </c>
      <c r="M4" s="13" t="s">
        <v>14</v>
      </c>
      <c r="N4" s="13" t="s">
        <v>14</v>
      </c>
      <c r="O4" s="13" t="s">
        <v>15</v>
      </c>
      <c r="P4" s="19" t="s">
        <v>16</v>
      </c>
      <c r="Q4" s="13" t="s">
        <v>17</v>
      </c>
      <c r="R4" s="20" t="s">
        <v>18</v>
      </c>
    </row>
    <row r="5" spans="1:18" ht="16" thickBot="1">
      <c r="A5" s="21" t="s">
        <v>19</v>
      </c>
      <c r="B5" s="22" t="s">
        <v>20</v>
      </c>
      <c r="C5" s="23" t="s">
        <v>21</v>
      </c>
      <c r="D5" s="23" t="s">
        <v>22</v>
      </c>
      <c r="E5" s="23" t="s">
        <v>23</v>
      </c>
      <c r="F5" s="24" t="s">
        <v>12</v>
      </c>
      <c r="G5" s="24" t="s">
        <v>24</v>
      </c>
      <c r="H5" s="24" t="s">
        <v>25</v>
      </c>
      <c r="I5" s="24" t="s">
        <v>26</v>
      </c>
      <c r="J5" s="13"/>
      <c r="K5" s="24" t="s">
        <v>27</v>
      </c>
      <c r="L5" s="24" t="s">
        <v>28</v>
      </c>
      <c r="M5" s="24" t="s">
        <v>29</v>
      </c>
      <c r="N5" s="24" t="s">
        <v>30</v>
      </c>
      <c r="O5" s="24" t="s">
        <v>31</v>
      </c>
      <c r="P5" s="25" t="s">
        <v>31</v>
      </c>
      <c r="Q5" s="24" t="s">
        <v>13</v>
      </c>
      <c r="R5" s="26" t="s">
        <v>32</v>
      </c>
    </row>
    <row r="6" spans="1:18" ht="16" thickBot="1">
      <c r="A6" s="27"/>
      <c r="B6" s="28"/>
      <c r="C6" s="28"/>
      <c r="D6" s="28"/>
      <c r="E6" s="28"/>
      <c r="F6" s="28"/>
      <c r="G6" s="28"/>
      <c r="H6" s="28"/>
      <c r="I6" s="29"/>
      <c r="J6" s="29"/>
      <c r="K6" s="29"/>
      <c r="L6" s="29"/>
      <c r="M6" s="29"/>
      <c r="N6" s="28"/>
      <c r="O6" s="28"/>
      <c r="P6" s="28"/>
      <c r="Q6" s="29"/>
      <c r="R6" s="30"/>
    </row>
    <row r="7" spans="1:18" ht="67">
      <c r="A7" s="31" t="s">
        <v>33</v>
      </c>
      <c r="B7" s="8"/>
      <c r="C7" s="32" t="s">
        <v>34</v>
      </c>
      <c r="D7" s="32" t="s">
        <v>34</v>
      </c>
      <c r="E7" s="32" t="s">
        <v>34</v>
      </c>
      <c r="F7" s="33" t="s">
        <v>35</v>
      </c>
      <c r="G7" s="9" t="s">
        <v>36</v>
      </c>
      <c r="H7" s="9" t="s">
        <v>36</v>
      </c>
      <c r="I7" s="33" t="s">
        <v>37</v>
      </c>
      <c r="J7" s="33"/>
      <c r="K7" s="9" t="s">
        <v>36</v>
      </c>
      <c r="L7" s="33" t="s">
        <v>38</v>
      </c>
      <c r="M7" s="33" t="s">
        <v>38</v>
      </c>
      <c r="N7" s="33" t="s">
        <v>38</v>
      </c>
      <c r="O7" s="9" t="s">
        <v>36</v>
      </c>
      <c r="P7" s="9" t="s">
        <v>36</v>
      </c>
      <c r="Q7" s="9" t="s">
        <v>36</v>
      </c>
      <c r="R7" s="34" t="s">
        <v>36</v>
      </c>
    </row>
    <row r="8" spans="1:18">
      <c r="A8" s="35" t="s">
        <v>39</v>
      </c>
      <c r="B8" s="14"/>
      <c r="C8" s="14"/>
      <c r="D8" s="14"/>
      <c r="E8" s="14"/>
      <c r="F8" s="14"/>
      <c r="G8" s="14"/>
      <c r="H8" s="14"/>
      <c r="I8" s="36"/>
      <c r="J8" s="36"/>
      <c r="K8" s="36"/>
      <c r="L8" s="36"/>
      <c r="M8" s="36"/>
      <c r="N8" s="14"/>
      <c r="O8" s="14"/>
      <c r="P8" s="14"/>
      <c r="Q8" s="36"/>
      <c r="R8" s="37"/>
    </row>
    <row r="9" spans="1:18">
      <c r="A9" s="38" t="s">
        <v>84</v>
      </c>
      <c r="B9" s="36" t="s">
        <v>41</v>
      </c>
      <c r="C9" s="36">
        <v>11</v>
      </c>
      <c r="D9" s="36">
        <v>1</v>
      </c>
      <c r="E9" s="36"/>
      <c r="F9" s="36">
        <v>18</v>
      </c>
      <c r="G9" s="39">
        <f>(F9/6)</f>
        <v>3</v>
      </c>
      <c r="H9" s="40">
        <f>SUM(C9:E9)+G9</f>
        <v>15</v>
      </c>
      <c r="I9" s="41">
        <f>1979+15+14</f>
        <v>2008</v>
      </c>
      <c r="J9" s="41">
        <f>I9/H9</f>
        <v>133.86666666666667</v>
      </c>
      <c r="K9" s="36">
        <v>430</v>
      </c>
      <c r="L9" s="36">
        <v>85</v>
      </c>
      <c r="M9" s="36">
        <v>96</v>
      </c>
      <c r="N9" s="36">
        <v>249</v>
      </c>
      <c r="O9" s="42">
        <f>N9/H9</f>
        <v>16.600000000000001</v>
      </c>
      <c r="P9" s="42">
        <f>K9/H9</f>
        <v>28.666666666666668</v>
      </c>
      <c r="Q9" s="42">
        <f>(I9/8.5)/H9</f>
        <v>15.749019607843138</v>
      </c>
      <c r="R9" s="43">
        <f>I9/((H9*0.95)*6)</f>
        <v>23.485380116959064</v>
      </c>
    </row>
    <row r="10" spans="1:18">
      <c r="A10" s="38" t="s">
        <v>42</v>
      </c>
      <c r="B10" s="36" t="s">
        <v>41</v>
      </c>
      <c r="C10" s="36">
        <v>5.5</v>
      </c>
      <c r="D10" s="36">
        <v>0</v>
      </c>
      <c r="E10" s="36"/>
      <c r="F10" s="36">
        <v>0.3</v>
      </c>
      <c r="G10" s="39">
        <f>(F10/6)</f>
        <v>4.9999999999999996E-2</v>
      </c>
      <c r="H10" s="40">
        <f>SUM(C10:E10)+G10</f>
        <v>5.55</v>
      </c>
      <c r="I10" s="41">
        <f>725+15</f>
        <v>740</v>
      </c>
      <c r="J10" s="41">
        <f>I10/H10</f>
        <v>133.33333333333334</v>
      </c>
      <c r="K10" s="36">
        <v>82</v>
      </c>
      <c r="L10" s="36">
        <v>16</v>
      </c>
      <c r="M10" s="36">
        <v>13</v>
      </c>
      <c r="N10" s="36">
        <v>53</v>
      </c>
      <c r="O10" s="42">
        <f>N10/H10</f>
        <v>9.5495495495495497</v>
      </c>
      <c r="P10" s="42">
        <f>K10/H10</f>
        <v>14.774774774774775</v>
      </c>
      <c r="Q10" s="42">
        <f>(I10/8.5)/H10</f>
        <v>15.686274509803923</v>
      </c>
      <c r="R10" s="43">
        <f>I10/((H10*0.95)*6)</f>
        <v>23.391812865497077</v>
      </c>
    </row>
    <row r="11" spans="1:18">
      <c r="A11" s="38"/>
      <c r="B11" s="36"/>
      <c r="C11" s="36"/>
      <c r="D11" s="36"/>
      <c r="E11" s="36"/>
      <c r="F11" s="36"/>
      <c r="G11" s="39"/>
      <c r="H11" s="40"/>
      <c r="I11" s="41"/>
      <c r="J11" s="41"/>
      <c r="K11" s="36"/>
      <c r="L11" s="36"/>
      <c r="M11" s="36"/>
      <c r="N11" s="36"/>
      <c r="O11" s="42"/>
      <c r="P11" s="42"/>
      <c r="Q11" s="42"/>
      <c r="R11" s="43"/>
    </row>
    <row r="12" spans="1:18">
      <c r="A12" s="38" t="s">
        <v>43</v>
      </c>
      <c r="B12" s="36" t="s">
        <v>44</v>
      </c>
      <c r="C12" s="36">
        <v>11</v>
      </c>
      <c r="D12" s="44">
        <v>1</v>
      </c>
      <c r="E12" s="36"/>
      <c r="F12" s="36">
        <v>2</v>
      </c>
      <c r="G12" s="39">
        <f>(F12/6)</f>
        <v>0.33333333333333331</v>
      </c>
      <c r="H12" s="40">
        <f>SUM(C12:E12)+G12</f>
        <v>12.333333333333334</v>
      </c>
      <c r="I12" s="41">
        <f>893+44+13</f>
        <v>950</v>
      </c>
      <c r="J12" s="41">
        <f t="shared" ref="J12:J27" si="0">I12/H12</f>
        <v>77.027027027027017</v>
      </c>
      <c r="K12" s="36">
        <v>121</v>
      </c>
      <c r="L12" s="36">
        <v>27</v>
      </c>
      <c r="M12" s="36">
        <v>16</v>
      </c>
      <c r="N12" s="36">
        <v>78</v>
      </c>
      <c r="O12" s="42">
        <f>N12/H12</f>
        <v>6.3243243243243237</v>
      </c>
      <c r="P12" s="42">
        <f>K12/H12</f>
        <v>9.8108108108108105</v>
      </c>
      <c r="Q12" s="42">
        <f>(I12/8.5)/H12</f>
        <v>9.0620031796502385</v>
      </c>
      <c r="R12" s="43">
        <f>I12/((H12*0.95)*6)</f>
        <v>13.513513513513514</v>
      </c>
    </row>
    <row r="13" spans="1:18">
      <c r="A13" s="38" t="s">
        <v>45</v>
      </c>
      <c r="B13" s="36" t="s">
        <v>44</v>
      </c>
      <c r="C13" s="36">
        <v>4</v>
      </c>
      <c r="D13" s="36">
        <v>1</v>
      </c>
      <c r="E13" s="36"/>
      <c r="F13" s="36">
        <v>16</v>
      </c>
      <c r="G13" s="39">
        <f>(F13/6)</f>
        <v>2.6666666666666665</v>
      </c>
      <c r="H13" s="40">
        <f>SUM(C13:E13)+G13</f>
        <v>7.6666666666666661</v>
      </c>
      <c r="I13" s="41">
        <f>716+14</f>
        <v>730</v>
      </c>
      <c r="J13" s="41">
        <f t="shared" si="0"/>
        <v>95.217391304347828</v>
      </c>
      <c r="K13" s="36">
        <v>62</v>
      </c>
      <c r="L13" s="36">
        <v>10</v>
      </c>
      <c r="M13" s="36">
        <v>11</v>
      </c>
      <c r="N13" s="36">
        <v>41</v>
      </c>
      <c r="O13" s="42">
        <f>N13/H13</f>
        <v>5.3478260869565224</v>
      </c>
      <c r="P13" s="42">
        <f>K13/H13</f>
        <v>8.0869565217391308</v>
      </c>
      <c r="Q13" s="42">
        <f>(I13/8.5)/H13</f>
        <v>11.202046035805626</v>
      </c>
      <c r="R13" s="43">
        <f>I13/((H13*0.95)*6)</f>
        <v>16.704805491990847</v>
      </c>
    </row>
    <row r="14" spans="1:18">
      <c r="A14" s="38" t="s">
        <v>46</v>
      </c>
      <c r="B14" s="36" t="s">
        <v>44</v>
      </c>
      <c r="C14" s="36">
        <v>3</v>
      </c>
      <c r="D14" s="36">
        <v>1.33</v>
      </c>
      <c r="E14" s="36"/>
      <c r="F14" s="36">
        <v>3</v>
      </c>
      <c r="G14" s="39">
        <f>(F14/6)</f>
        <v>0.5</v>
      </c>
      <c r="H14" s="40">
        <f>SUM(C14:E14)+G14</f>
        <v>4.83</v>
      </c>
      <c r="I14" s="41">
        <f>549+15</f>
        <v>564</v>
      </c>
      <c r="J14" s="41">
        <f t="shared" si="0"/>
        <v>116.77018633540372</v>
      </c>
      <c r="K14" s="36">
        <v>18</v>
      </c>
      <c r="L14" s="36">
        <v>2</v>
      </c>
      <c r="M14" s="36">
        <v>0</v>
      </c>
      <c r="N14" s="36">
        <v>16</v>
      </c>
      <c r="O14" s="42">
        <f>N14/H14</f>
        <v>3.3126293995859211</v>
      </c>
      <c r="P14" s="42">
        <f>K14/H14</f>
        <v>3.7267080745341614</v>
      </c>
      <c r="Q14" s="42">
        <f>(I14/8.5)/H14</f>
        <v>13.737668980635734</v>
      </c>
      <c r="R14" s="43">
        <f>I14/((H14*0.95)*6)</f>
        <v>20.485997602702408</v>
      </c>
    </row>
    <row r="15" spans="1:18">
      <c r="A15" s="38" t="s">
        <v>47</v>
      </c>
      <c r="B15" s="36" t="s">
        <v>44</v>
      </c>
      <c r="C15" s="36">
        <v>4</v>
      </c>
      <c r="D15" s="36">
        <v>1</v>
      </c>
      <c r="E15" s="36"/>
      <c r="F15" s="36">
        <v>1.5</v>
      </c>
      <c r="G15" s="39">
        <f>(F15/6)</f>
        <v>0.25</v>
      </c>
      <c r="H15" s="40">
        <f>SUM(C15:E15)+G15</f>
        <v>5.25</v>
      </c>
      <c r="I15" s="41">
        <f>540+24</f>
        <v>564</v>
      </c>
      <c r="J15" s="41">
        <f t="shared" si="0"/>
        <v>107.42857142857143</v>
      </c>
      <c r="K15" s="36">
        <v>21</v>
      </c>
      <c r="L15" s="36">
        <v>2</v>
      </c>
      <c r="M15" s="36">
        <v>3</v>
      </c>
      <c r="N15" s="36">
        <v>16</v>
      </c>
      <c r="O15" s="42">
        <f>N15/H15</f>
        <v>3.0476190476190474</v>
      </c>
      <c r="P15" s="42">
        <f>K15/H15</f>
        <v>4</v>
      </c>
      <c r="Q15" s="42">
        <f>(I15/8.5)/H15</f>
        <v>12.638655462184875</v>
      </c>
      <c r="R15" s="43">
        <f>I15/((H15*0.95)*6)</f>
        <v>18.847117794486216</v>
      </c>
    </row>
    <row r="16" spans="1:18">
      <c r="A16" s="143" t="s">
        <v>85</v>
      </c>
      <c r="B16" s="144" t="s">
        <v>44</v>
      </c>
      <c r="C16" s="144">
        <v>7</v>
      </c>
      <c r="D16" s="144">
        <v>1.5</v>
      </c>
      <c r="E16" s="144"/>
      <c r="F16" s="144">
        <v>14</v>
      </c>
      <c r="G16" s="145">
        <f>F16/6</f>
        <v>2.3333333333333335</v>
      </c>
      <c r="H16" s="146">
        <f>SUM(C16:E16)+G16</f>
        <v>10.833333333333334</v>
      </c>
      <c r="I16" s="147">
        <v>524</v>
      </c>
      <c r="J16" s="41">
        <f t="shared" si="0"/>
        <v>48.369230769230768</v>
      </c>
      <c r="K16" s="144">
        <v>33</v>
      </c>
      <c r="L16" s="144">
        <v>5</v>
      </c>
      <c r="M16" s="144">
        <v>2</v>
      </c>
      <c r="N16" s="144">
        <v>26</v>
      </c>
      <c r="O16" s="148">
        <f>N16/H16</f>
        <v>2.4</v>
      </c>
      <c r="P16" s="148">
        <f>K16/H16</f>
        <v>3.046153846153846</v>
      </c>
      <c r="Q16" s="148">
        <f>(I16/8.5)/H16</f>
        <v>5.6904977375565613</v>
      </c>
      <c r="R16" s="149">
        <f>I16/((H16*0.95)*6)</f>
        <v>8.4858299595141702</v>
      </c>
    </row>
    <row r="17" spans="1:18">
      <c r="A17" s="38"/>
      <c r="B17" s="36"/>
      <c r="C17" s="36"/>
      <c r="D17" s="36"/>
      <c r="E17" s="36"/>
      <c r="F17" s="36"/>
      <c r="G17" s="39"/>
      <c r="H17" s="40"/>
      <c r="I17" s="41"/>
      <c r="J17" s="41"/>
      <c r="K17" s="36"/>
      <c r="L17" s="36"/>
      <c r="M17" s="36"/>
      <c r="N17" s="36"/>
      <c r="O17" s="42"/>
      <c r="P17" s="42"/>
      <c r="Q17" s="42"/>
      <c r="R17" s="43"/>
    </row>
    <row r="18" spans="1:18">
      <c r="A18" s="38" t="s">
        <v>52</v>
      </c>
      <c r="B18" s="36" t="s">
        <v>53</v>
      </c>
      <c r="C18" s="36">
        <v>8.5</v>
      </c>
      <c r="D18" s="36">
        <v>0</v>
      </c>
      <c r="E18" s="36">
        <v>1</v>
      </c>
      <c r="F18" s="36">
        <v>6</v>
      </c>
      <c r="G18" s="39">
        <f>(F18/6)</f>
        <v>1</v>
      </c>
      <c r="H18" s="40">
        <f>SUM(C18:E18)+G18</f>
        <v>10.5</v>
      </c>
      <c r="I18" s="41">
        <v>865.5</v>
      </c>
      <c r="J18" s="41">
        <f t="shared" si="0"/>
        <v>82.428571428571431</v>
      </c>
      <c r="K18" s="36">
        <v>213</v>
      </c>
      <c r="L18" s="36">
        <v>81</v>
      </c>
      <c r="M18" s="36">
        <v>21</v>
      </c>
      <c r="N18" s="36">
        <v>111</v>
      </c>
      <c r="O18" s="42">
        <f>N18/H18</f>
        <v>10.571428571428571</v>
      </c>
      <c r="P18" s="42">
        <f>K18/H18</f>
        <v>20.285714285714285</v>
      </c>
      <c r="Q18" s="42">
        <f>(I18/8.5)/H18</f>
        <v>9.6974789915966397</v>
      </c>
      <c r="R18" s="43">
        <f>I18/((H18*0.95)*6)</f>
        <v>14.461152882205516</v>
      </c>
    </row>
    <row r="19" spans="1:18">
      <c r="A19" s="38" t="s">
        <v>54</v>
      </c>
      <c r="B19" s="36" t="s">
        <v>53</v>
      </c>
      <c r="C19" s="36">
        <v>5.5</v>
      </c>
      <c r="D19" s="36">
        <v>0</v>
      </c>
      <c r="E19" s="36">
        <v>1</v>
      </c>
      <c r="F19" s="36">
        <v>5</v>
      </c>
      <c r="G19" s="39">
        <f>(F19/6)</f>
        <v>0.83333333333333337</v>
      </c>
      <c r="H19" s="40">
        <f>SUM(C19:E19)+G19</f>
        <v>7.333333333333333</v>
      </c>
      <c r="I19" s="41">
        <f>594+15</f>
        <v>609</v>
      </c>
      <c r="J19" s="41">
        <f t="shared" si="0"/>
        <v>83.045454545454547</v>
      </c>
      <c r="K19" s="36">
        <v>68</v>
      </c>
      <c r="L19" s="36">
        <v>27</v>
      </c>
      <c r="M19" s="36">
        <v>11</v>
      </c>
      <c r="N19" s="36">
        <v>30</v>
      </c>
      <c r="O19" s="42">
        <f>N19/H19</f>
        <v>4.0909090909090908</v>
      </c>
      <c r="P19" s="42">
        <f>K19/H19</f>
        <v>9.2727272727272734</v>
      </c>
      <c r="Q19" s="42">
        <f>(I19/8.5)/H19</f>
        <v>9.7700534759358284</v>
      </c>
      <c r="R19" s="43">
        <f>I19/((H19*0.95)*6)</f>
        <v>14.569377990430622</v>
      </c>
    </row>
    <row r="20" spans="1:18">
      <c r="A20" s="38" t="s">
        <v>56</v>
      </c>
      <c r="B20" s="36" t="s">
        <v>53</v>
      </c>
      <c r="C20" s="36">
        <v>8</v>
      </c>
      <c r="D20" s="36">
        <v>2</v>
      </c>
      <c r="E20" s="36"/>
      <c r="F20" s="36">
        <v>4</v>
      </c>
      <c r="G20" s="39">
        <f>(F20/6)</f>
        <v>0.66666666666666663</v>
      </c>
      <c r="H20" s="40">
        <f>SUM(C20:E20)+G20</f>
        <v>10.666666666666666</v>
      </c>
      <c r="I20" s="41">
        <v>721</v>
      </c>
      <c r="J20" s="41">
        <f t="shared" si="0"/>
        <v>67.59375</v>
      </c>
      <c r="K20" s="36">
        <v>70</v>
      </c>
      <c r="L20" s="36">
        <v>24</v>
      </c>
      <c r="M20" s="36">
        <v>14</v>
      </c>
      <c r="N20" s="36">
        <v>32</v>
      </c>
      <c r="O20" s="42">
        <f>N20/H20</f>
        <v>3</v>
      </c>
      <c r="P20" s="42">
        <f>K20/H20</f>
        <v>6.5625</v>
      </c>
      <c r="Q20" s="42">
        <f>(I20/8.5)/H20</f>
        <v>7.952205882352942</v>
      </c>
      <c r="R20" s="43">
        <f>I20/((H20*0.95)*6)</f>
        <v>11.858552631578949</v>
      </c>
    </row>
    <row r="21" spans="1:18">
      <c r="A21" s="38" t="s">
        <v>57</v>
      </c>
      <c r="B21" s="36" t="s">
        <v>53</v>
      </c>
      <c r="C21" s="36">
        <v>5</v>
      </c>
      <c r="D21" s="36">
        <v>0</v>
      </c>
      <c r="E21" s="36"/>
      <c r="F21" s="36">
        <v>2</v>
      </c>
      <c r="G21" s="39">
        <f>(F21/6)</f>
        <v>0.33333333333333331</v>
      </c>
      <c r="H21" s="40">
        <f>SUM(C21:E21)+G21</f>
        <v>5.333333333333333</v>
      </c>
      <c r="I21" s="41">
        <v>410.5</v>
      </c>
      <c r="J21" s="41">
        <f t="shared" si="0"/>
        <v>76.96875</v>
      </c>
      <c r="K21" s="36">
        <v>38</v>
      </c>
      <c r="L21" s="36">
        <v>9</v>
      </c>
      <c r="M21" s="36">
        <v>2</v>
      </c>
      <c r="N21" s="36">
        <v>27</v>
      </c>
      <c r="O21" s="42">
        <f>N21/H21</f>
        <v>5.0625</v>
      </c>
      <c r="P21" s="42">
        <f>K21/H21</f>
        <v>7.125</v>
      </c>
      <c r="Q21" s="42">
        <f>(I21/8.5)/H21</f>
        <v>9.0551470588235308</v>
      </c>
      <c r="R21" s="43">
        <f>I21/((H21*0.95)*6)</f>
        <v>13.503289473684211</v>
      </c>
    </row>
    <row r="22" spans="1:18">
      <c r="A22" s="38" t="s">
        <v>58</v>
      </c>
      <c r="B22" s="36" t="s">
        <v>53</v>
      </c>
      <c r="C22" s="36">
        <v>6.5</v>
      </c>
      <c r="D22" s="36">
        <v>3</v>
      </c>
      <c r="E22" s="36"/>
      <c r="F22" s="36">
        <v>3</v>
      </c>
      <c r="G22" s="39">
        <f>(F22/6)</f>
        <v>0.5</v>
      </c>
      <c r="H22" s="40">
        <f>SUM(C22:E22)+G22</f>
        <v>10</v>
      </c>
      <c r="I22" s="41">
        <v>1299</v>
      </c>
      <c r="J22" s="41">
        <f t="shared" si="0"/>
        <v>129.9</v>
      </c>
      <c r="K22" s="36">
        <v>211</v>
      </c>
      <c r="L22" s="36">
        <v>37</v>
      </c>
      <c r="M22" s="36">
        <v>57</v>
      </c>
      <c r="N22" s="36">
        <v>117</v>
      </c>
      <c r="O22" s="42">
        <f>N22/H22</f>
        <v>11.7</v>
      </c>
      <c r="P22" s="42">
        <f>K22/H22</f>
        <v>21.1</v>
      </c>
      <c r="Q22" s="42">
        <f>(I22/8.5)/H22</f>
        <v>15.28235294117647</v>
      </c>
      <c r="R22" s="43">
        <f>I22/((H22*0.95)*6)</f>
        <v>22.789473684210527</v>
      </c>
    </row>
    <row r="23" spans="1:18">
      <c r="A23" s="38"/>
      <c r="B23" s="36"/>
      <c r="C23" s="36"/>
      <c r="D23" s="36"/>
      <c r="E23" s="36"/>
      <c r="F23" s="36"/>
      <c r="G23" s="39"/>
      <c r="H23" s="40"/>
      <c r="I23" s="41"/>
      <c r="J23" s="41"/>
      <c r="K23" s="36"/>
      <c r="L23" s="36"/>
      <c r="M23" s="36"/>
      <c r="N23" s="36"/>
      <c r="O23" s="42"/>
      <c r="P23" s="42"/>
      <c r="Q23" s="42"/>
      <c r="R23" s="43"/>
    </row>
    <row r="24" spans="1:18">
      <c r="A24" s="38" t="s">
        <v>59</v>
      </c>
      <c r="B24" s="36" t="s">
        <v>60</v>
      </c>
      <c r="C24" s="36">
        <v>3</v>
      </c>
      <c r="D24" s="36">
        <v>3</v>
      </c>
      <c r="E24" s="36"/>
      <c r="F24" s="36">
        <v>4</v>
      </c>
      <c r="G24" s="39">
        <f>(F24/6)</f>
        <v>0.66666666666666663</v>
      </c>
      <c r="H24" s="40">
        <f>SUM(C24:E24)+G24</f>
        <v>6.666666666666667</v>
      </c>
      <c r="I24" s="41">
        <f>451+15</f>
        <v>466</v>
      </c>
      <c r="J24" s="41">
        <f t="shared" si="0"/>
        <v>69.899999999999991</v>
      </c>
      <c r="K24" s="36">
        <v>78</v>
      </c>
      <c r="L24" s="36">
        <v>11</v>
      </c>
      <c r="M24" s="36">
        <v>8</v>
      </c>
      <c r="N24" s="36">
        <v>59</v>
      </c>
      <c r="O24" s="42">
        <f>N24/H24</f>
        <v>8.85</v>
      </c>
      <c r="P24" s="42">
        <f>K24/H24</f>
        <v>11.7</v>
      </c>
      <c r="Q24" s="42">
        <f>(I24/8.5)/H24</f>
        <v>8.2235294117647051</v>
      </c>
      <c r="R24" s="43">
        <f>I24/((H24*0.95)*6)</f>
        <v>12.263157894736842</v>
      </c>
    </row>
    <row r="25" spans="1:18">
      <c r="A25" s="38" t="s">
        <v>61</v>
      </c>
      <c r="B25" s="36" t="s">
        <v>60</v>
      </c>
      <c r="C25" s="36">
        <v>6</v>
      </c>
      <c r="D25" s="36">
        <v>1.5</v>
      </c>
      <c r="E25" s="36"/>
      <c r="F25" s="36">
        <v>4</v>
      </c>
      <c r="G25" s="39">
        <f>(F25/6)</f>
        <v>0.66666666666666663</v>
      </c>
      <c r="H25" s="40">
        <f>SUM(C25:E25)+G25</f>
        <v>8.1666666666666661</v>
      </c>
      <c r="I25" s="41">
        <f>905+15+10</f>
        <v>930</v>
      </c>
      <c r="J25" s="41">
        <f t="shared" si="0"/>
        <v>113.87755102040818</v>
      </c>
      <c r="K25" s="36">
        <v>75</v>
      </c>
      <c r="L25" s="36">
        <v>18</v>
      </c>
      <c r="M25" s="36">
        <v>10</v>
      </c>
      <c r="N25" s="36">
        <v>37</v>
      </c>
      <c r="O25" s="42">
        <f>N25/H25</f>
        <v>4.5306122448979593</v>
      </c>
      <c r="P25" s="42">
        <f>K25/H25</f>
        <v>9.183673469387756</v>
      </c>
      <c r="Q25" s="42">
        <f>(I25/8.5)/H25</f>
        <v>13.397358943577432</v>
      </c>
      <c r="R25" s="43">
        <f>I25/((H25*0.95)*6)</f>
        <v>19.978517722878628</v>
      </c>
    </row>
    <row r="26" spans="1:18">
      <c r="A26" s="38" t="s">
        <v>62</v>
      </c>
      <c r="B26" s="36" t="s">
        <v>60</v>
      </c>
      <c r="C26" s="36">
        <v>6</v>
      </c>
      <c r="D26" s="36">
        <v>0</v>
      </c>
      <c r="E26" s="36"/>
      <c r="F26" s="36">
        <v>5</v>
      </c>
      <c r="G26" s="39">
        <f>(F26/6)</f>
        <v>0.83333333333333337</v>
      </c>
      <c r="H26" s="40">
        <f>SUM(C26:E26)+G26</f>
        <v>6.833333333333333</v>
      </c>
      <c r="I26" s="41">
        <f>556+15+16+48</f>
        <v>635</v>
      </c>
      <c r="J26" s="41">
        <f t="shared" si="0"/>
        <v>92.926829268292693</v>
      </c>
      <c r="K26" s="36">
        <v>71</v>
      </c>
      <c r="L26" s="36">
        <v>11</v>
      </c>
      <c r="M26" s="36">
        <v>11</v>
      </c>
      <c r="N26" s="36">
        <v>49</v>
      </c>
      <c r="O26" s="42">
        <f>N26/H26</f>
        <v>7.1707317073170733</v>
      </c>
      <c r="P26" s="42">
        <f>K26/H26</f>
        <v>10.390243902439025</v>
      </c>
      <c r="Q26" s="42">
        <f>(I26/8.5)/H26</f>
        <v>10.932568149210905</v>
      </c>
      <c r="R26" s="43">
        <f>I26/((H26*0.95)*6)</f>
        <v>16.302952503209244</v>
      </c>
    </row>
    <row r="27" spans="1:18" ht="16" thickBot="1">
      <c r="A27" s="150" t="s">
        <v>86</v>
      </c>
      <c r="B27" s="102" t="s">
        <v>60</v>
      </c>
      <c r="C27" s="102">
        <v>6</v>
      </c>
      <c r="D27" s="102">
        <v>0</v>
      </c>
      <c r="E27" s="102"/>
      <c r="F27" s="102">
        <v>13</v>
      </c>
      <c r="G27" s="104">
        <f>(F27/6)</f>
        <v>2.1666666666666665</v>
      </c>
      <c r="H27" s="105">
        <f>SUM(C27:E27)+G27</f>
        <v>8.1666666666666661</v>
      </c>
      <c r="I27" s="151">
        <f>832+15</f>
        <v>847</v>
      </c>
      <c r="J27" s="41">
        <f t="shared" si="0"/>
        <v>103.71428571428572</v>
      </c>
      <c r="K27" s="102">
        <v>63</v>
      </c>
      <c r="L27" s="102">
        <v>11</v>
      </c>
      <c r="M27" s="102">
        <v>9</v>
      </c>
      <c r="N27" s="102">
        <v>43</v>
      </c>
      <c r="O27" s="108">
        <f>N27/H27</f>
        <v>5.2653061224489797</v>
      </c>
      <c r="P27" s="108">
        <f>K27/H27</f>
        <v>7.7142857142857144</v>
      </c>
      <c r="Q27" s="108">
        <f>(I27/8.5)/H27</f>
        <v>12.201680672268907</v>
      </c>
      <c r="R27" s="109">
        <f>I27/((H27*0.95)*6)</f>
        <v>18.195488721804516</v>
      </c>
    </row>
    <row r="28" spans="1:18" ht="16" thickBot="1">
      <c r="A28" s="27"/>
      <c r="B28" s="28"/>
      <c r="C28" s="29"/>
      <c r="D28" s="29"/>
      <c r="E28" s="29"/>
      <c r="F28" s="29"/>
      <c r="G28" s="59"/>
      <c r="H28" s="60"/>
      <c r="I28" s="61"/>
      <c r="J28" s="61"/>
      <c r="K28" s="62"/>
      <c r="L28" s="62"/>
      <c r="M28" s="62"/>
      <c r="N28" s="62"/>
      <c r="O28" s="63"/>
      <c r="P28" s="63"/>
      <c r="Q28" s="63"/>
      <c r="R28" s="64"/>
    </row>
    <row r="29" spans="1:18" ht="16" thickBot="1">
      <c r="A29" s="65" t="s">
        <v>65</v>
      </c>
      <c r="B29" s="66"/>
      <c r="C29" s="67">
        <f>SUM(C9:C27)</f>
        <v>100</v>
      </c>
      <c r="D29" s="67">
        <f>SUM(D9:D27)</f>
        <v>16.329999999999998</v>
      </c>
      <c r="E29" s="67">
        <f>SUM(E9:E27)</f>
        <v>2</v>
      </c>
      <c r="F29" s="67"/>
      <c r="G29" s="68">
        <f>SUM(G9:G27)</f>
        <v>16.8</v>
      </c>
      <c r="H29" s="69">
        <f>SUM(C29:G29)</f>
        <v>135.13</v>
      </c>
      <c r="I29" s="70">
        <f>SUM(I9:I27)</f>
        <v>12863</v>
      </c>
      <c r="J29" s="70">
        <f>I29/H29</f>
        <v>95.189817213054098</v>
      </c>
      <c r="K29" s="71">
        <f>SUM(K9:K27)</f>
        <v>1654</v>
      </c>
      <c r="L29" s="72">
        <f>SUM(L9:L27)</f>
        <v>376</v>
      </c>
      <c r="M29" s="72">
        <f>SUM(M9:M27)</f>
        <v>284</v>
      </c>
      <c r="N29" s="71">
        <f>SUM(N9:N27)</f>
        <v>984</v>
      </c>
      <c r="O29" s="73">
        <f>N29/H29</f>
        <v>7.2818767113150304</v>
      </c>
      <c r="P29" s="73">
        <f>K29/H29</f>
        <v>12.240065122474654</v>
      </c>
      <c r="Q29" s="73">
        <f>(I29/8.5)/H29</f>
        <v>11.198802025065188</v>
      </c>
      <c r="R29" s="74">
        <f>I29/((H29*0.95)*6)</f>
        <v>16.699967932114756</v>
      </c>
    </row>
    <row r="30" spans="1:18" ht="16" thickBot="1">
      <c r="A30" s="75"/>
      <c r="B30" s="2"/>
      <c r="C30" s="4"/>
      <c r="D30" s="4"/>
      <c r="E30" s="4"/>
      <c r="F30" s="4"/>
      <c r="G30" s="76"/>
      <c r="H30" s="77"/>
      <c r="I30" s="78"/>
      <c r="J30" s="78"/>
      <c r="K30" s="79"/>
      <c r="L30" s="79"/>
      <c r="M30" s="79"/>
      <c r="N30" s="79"/>
      <c r="O30" s="80"/>
      <c r="P30" s="80"/>
      <c r="Q30" s="80"/>
      <c r="R30" s="80"/>
    </row>
    <row r="31" spans="1:18" ht="16" thickBot="1">
      <c r="A31" s="81" t="s">
        <v>66</v>
      </c>
      <c r="B31" s="82"/>
      <c r="C31" s="83"/>
      <c r="D31" s="83"/>
      <c r="E31" s="83"/>
      <c r="F31" s="83"/>
      <c r="G31" s="84"/>
      <c r="H31" s="83"/>
      <c r="I31" s="84"/>
      <c r="J31" s="84"/>
      <c r="K31" s="85"/>
      <c r="L31" s="85"/>
      <c r="M31" s="85"/>
      <c r="N31" s="85"/>
      <c r="O31" s="86"/>
      <c r="P31" s="86"/>
      <c r="Q31" s="86"/>
      <c r="R31" s="87"/>
    </row>
    <row r="32" spans="1:18" ht="16" thickBot="1">
      <c r="A32" s="88" t="s">
        <v>67</v>
      </c>
      <c r="B32" s="8"/>
      <c r="C32" s="9">
        <v>5</v>
      </c>
      <c r="D32" s="9">
        <v>0</v>
      </c>
      <c r="E32" s="9"/>
      <c r="F32" s="9">
        <v>7</v>
      </c>
      <c r="G32" s="89">
        <f>(F32/6)</f>
        <v>1.1666666666666667</v>
      </c>
      <c r="H32" s="90">
        <f>SUM(C32:E32)+G32</f>
        <v>6.166666666666667</v>
      </c>
      <c r="I32" s="91">
        <v>426</v>
      </c>
      <c r="J32" s="91">
        <f>I32/H32</f>
        <v>69.081081081081081</v>
      </c>
      <c r="K32" s="9">
        <f>SUM(L32:N32)</f>
        <v>47</v>
      </c>
      <c r="L32" s="9">
        <v>4</v>
      </c>
      <c r="M32" s="92">
        <v>13</v>
      </c>
      <c r="N32" s="9">
        <v>30</v>
      </c>
      <c r="O32" s="93">
        <f>N32/H32</f>
        <v>4.8648648648648649</v>
      </c>
      <c r="P32" s="93">
        <f>K32/H32</f>
        <v>7.621621621621621</v>
      </c>
      <c r="Q32" s="93">
        <f>(I32/8.5)/H32</f>
        <v>8.127186009538951</v>
      </c>
      <c r="R32" s="94">
        <f>I32/((H32*0.95)*6)</f>
        <v>12.119487908961593</v>
      </c>
    </row>
    <row r="33" spans="1:18" ht="16" thickBot="1">
      <c r="A33" s="95" t="s">
        <v>68</v>
      </c>
      <c r="B33" s="14"/>
      <c r="C33" s="36">
        <v>15.5</v>
      </c>
      <c r="D33" s="36">
        <v>4</v>
      </c>
      <c r="E33" s="36">
        <v>0</v>
      </c>
      <c r="F33" s="96">
        <v>93</v>
      </c>
      <c r="G33" s="39">
        <f>(F33/6)</f>
        <v>15.5</v>
      </c>
      <c r="H33" s="40">
        <f>SUM(C33:E33)+G33</f>
        <v>35</v>
      </c>
      <c r="I33" s="97">
        <f>1232.75+24+26</f>
        <v>1282.75</v>
      </c>
      <c r="J33" s="91">
        <f>I33/H33</f>
        <v>36.65</v>
      </c>
      <c r="K33" s="36">
        <f>SUM(L33:N33)</f>
        <v>165</v>
      </c>
      <c r="L33" s="36">
        <v>43</v>
      </c>
      <c r="M33" s="98">
        <v>23</v>
      </c>
      <c r="N33" s="36">
        <v>99</v>
      </c>
      <c r="O33" s="42">
        <f>N33/H33</f>
        <v>2.8285714285714287</v>
      </c>
      <c r="P33" s="42">
        <f>K33/H33</f>
        <v>4.7142857142857144</v>
      </c>
      <c r="Q33" s="42">
        <f>(I33/8.5)/H33</f>
        <v>4.3117647058823527</v>
      </c>
      <c r="R33" s="43">
        <f>I33/((H33*0.95)*6)</f>
        <v>6.4298245614035086</v>
      </c>
    </row>
    <row r="34" spans="1:18" ht="16" thickBot="1">
      <c r="A34" s="95" t="s">
        <v>69</v>
      </c>
      <c r="B34" s="14"/>
      <c r="C34" s="36">
        <v>5</v>
      </c>
      <c r="D34" s="36">
        <v>3</v>
      </c>
      <c r="E34" s="36">
        <v>1</v>
      </c>
      <c r="F34" s="36">
        <v>29</v>
      </c>
      <c r="G34" s="39">
        <f>(F34/6)</f>
        <v>4.833333333333333</v>
      </c>
      <c r="H34" s="40">
        <f>SUM(C34:E34)+G34</f>
        <v>13.833333333333332</v>
      </c>
      <c r="I34" s="99">
        <v>838</v>
      </c>
      <c r="J34" s="91">
        <f>I34/H34</f>
        <v>60.578313253012055</v>
      </c>
      <c r="K34" s="36">
        <f>SUM(L34:N34)</f>
        <v>150</v>
      </c>
      <c r="L34" s="36">
        <v>35</v>
      </c>
      <c r="M34" s="98">
        <v>34</v>
      </c>
      <c r="N34" s="36">
        <v>81</v>
      </c>
      <c r="O34" s="42">
        <f>N34/H34</f>
        <v>5.8554216867469888</v>
      </c>
      <c r="P34" s="42">
        <f>K34/H34</f>
        <v>10.843373493975905</v>
      </c>
      <c r="Q34" s="42">
        <f>(I34/8.5)/H34</f>
        <v>7.1268603827073012</v>
      </c>
      <c r="R34" s="43">
        <f>I34/((H34*0.95)*6)</f>
        <v>10.627774254914396</v>
      </c>
    </row>
    <row r="35" spans="1:18" ht="93" thickBot="1">
      <c r="A35" s="100" t="s">
        <v>87</v>
      </c>
      <c r="B35" s="101"/>
      <c r="C35" s="102">
        <v>7.5</v>
      </c>
      <c r="D35" s="102">
        <v>2</v>
      </c>
      <c r="E35" s="102">
        <f>1</f>
        <v>1</v>
      </c>
      <c r="F35" s="103">
        <v>52.5</v>
      </c>
      <c r="G35" s="104">
        <f>(F35/6)</f>
        <v>8.75</v>
      </c>
      <c r="H35" s="105">
        <f>SUM(C35:E35)+G35</f>
        <v>19.25</v>
      </c>
      <c r="I35" s="106">
        <f>780.75+15</f>
        <v>795.75</v>
      </c>
      <c r="J35" s="91">
        <f>I35/H35</f>
        <v>41.337662337662337</v>
      </c>
      <c r="K35" s="102">
        <v>101</v>
      </c>
      <c r="L35" s="102">
        <v>25</v>
      </c>
      <c r="M35" s="107">
        <v>17</v>
      </c>
      <c r="N35" s="102">
        <v>64</v>
      </c>
      <c r="O35" s="108">
        <f>N35/H35</f>
        <v>3.3246753246753249</v>
      </c>
      <c r="P35" s="108">
        <f>K35/H35</f>
        <v>5.2467532467532472</v>
      </c>
      <c r="Q35" s="108">
        <f>(I35/8.5)/H35</f>
        <v>4.8632543926661578</v>
      </c>
      <c r="R35" s="109">
        <f>I35/((H35*0.95)*6)</f>
        <v>7.2522214627477792</v>
      </c>
    </row>
    <row r="36" spans="1:18" ht="16" thickBot="1">
      <c r="A36" s="110"/>
      <c r="B36" s="28"/>
      <c r="C36" s="29"/>
      <c r="D36" s="29"/>
      <c r="E36" s="29"/>
      <c r="F36" s="29"/>
      <c r="G36" s="59"/>
      <c r="H36" s="60"/>
      <c r="I36" s="111"/>
      <c r="J36" s="111"/>
      <c r="K36" s="62"/>
      <c r="L36" s="62"/>
      <c r="M36" s="62"/>
      <c r="N36" s="62"/>
      <c r="O36" s="63"/>
      <c r="P36" s="63"/>
      <c r="Q36" s="63"/>
      <c r="R36" s="64"/>
    </row>
    <row r="37" spans="1:18" ht="16" thickBot="1">
      <c r="A37" s="112" t="s">
        <v>71</v>
      </c>
      <c r="B37" s="113"/>
      <c r="C37" s="114">
        <f>SUM(C32:C35)</f>
        <v>33</v>
      </c>
      <c r="D37" s="114"/>
      <c r="E37" s="114">
        <f>SUM(E32:E35)</f>
        <v>2</v>
      </c>
      <c r="F37" s="114"/>
      <c r="G37" s="115">
        <f>SUM(G32:G35)</f>
        <v>30.25</v>
      </c>
      <c r="H37" s="116">
        <f>SUM(C37:G37)</f>
        <v>65.25</v>
      </c>
      <c r="I37" s="117">
        <f>SUM(I32:I35)</f>
        <v>3342.5</v>
      </c>
      <c r="J37" s="117">
        <f>I37/H37</f>
        <v>51.226053639846747</v>
      </c>
      <c r="K37" s="118">
        <f>SUM(K32:K35)</f>
        <v>463</v>
      </c>
      <c r="L37" s="118">
        <f>SUM(L32:L35)</f>
        <v>107</v>
      </c>
      <c r="M37" s="118">
        <f>SUM(M32:M35)</f>
        <v>87</v>
      </c>
      <c r="N37" s="118">
        <f>SUM(N32:N35)</f>
        <v>274</v>
      </c>
      <c r="O37" s="119">
        <f>N37/H37</f>
        <v>4.1992337164750957</v>
      </c>
      <c r="P37" s="119">
        <f>K37/H37</f>
        <v>7.0957854406130272</v>
      </c>
      <c r="Q37" s="119">
        <f>(I37/8.5)/H37</f>
        <v>6.0265945458643229</v>
      </c>
      <c r="R37" s="120">
        <f>I37/((H37*0.95)*6)</f>
        <v>8.9870269543590791</v>
      </c>
    </row>
    <row r="38" spans="1:18" ht="16" thickBot="1">
      <c r="A38" s="2"/>
      <c r="B38" s="2"/>
      <c r="C38" s="4"/>
      <c r="D38" s="4"/>
      <c r="E38" s="4"/>
      <c r="F38" s="4"/>
      <c r="G38" s="78"/>
      <c r="H38" s="4"/>
      <c r="I38" s="78"/>
      <c r="J38" s="78"/>
      <c r="K38" s="79"/>
      <c r="L38" s="79"/>
      <c r="M38" s="79"/>
      <c r="N38" s="79"/>
      <c r="O38" s="121"/>
      <c r="P38" s="122"/>
      <c r="Q38" s="121"/>
      <c r="R38" s="121"/>
    </row>
    <row r="39" spans="1:18" ht="16" thickBot="1">
      <c r="A39" s="112" t="s">
        <v>72</v>
      </c>
      <c r="B39" s="113"/>
      <c r="C39" s="123">
        <f>C29+C37</f>
        <v>133</v>
      </c>
      <c r="D39" s="123">
        <f>D29+D37</f>
        <v>16.329999999999998</v>
      </c>
      <c r="E39" s="123">
        <f>E29+E37</f>
        <v>4</v>
      </c>
      <c r="F39" s="123"/>
      <c r="G39" s="124">
        <f t="shared" ref="G39:N39" si="1">G29+G37</f>
        <v>47.05</v>
      </c>
      <c r="H39" s="124">
        <f t="shared" si="1"/>
        <v>200.38</v>
      </c>
      <c r="I39" s="124">
        <f t="shared" si="1"/>
        <v>16205.5</v>
      </c>
      <c r="J39" s="124">
        <f>(I29+I37)/(H29+H37)</f>
        <v>80.873839704561334</v>
      </c>
      <c r="K39" s="125">
        <f t="shared" si="1"/>
        <v>2117</v>
      </c>
      <c r="L39" s="125">
        <f t="shared" si="1"/>
        <v>483</v>
      </c>
      <c r="M39" s="125">
        <f t="shared" si="1"/>
        <v>371</v>
      </c>
      <c r="N39" s="125">
        <f t="shared" si="1"/>
        <v>1258</v>
      </c>
      <c r="O39" s="119">
        <f>N39/H39</f>
        <v>6.2780716638387064</v>
      </c>
      <c r="P39" s="119">
        <f>K39/H39</f>
        <v>10.564926639385169</v>
      </c>
      <c r="Q39" s="119">
        <f>(I39/8.5)/H39</f>
        <v>9.5145693770072164</v>
      </c>
      <c r="R39" s="120">
        <f>I39/((H39*0.95)*6)</f>
        <v>14.188392930624795</v>
      </c>
    </row>
    <row r="40" spans="1:18">
      <c r="A40" s="2"/>
      <c r="B40" s="2"/>
      <c r="C40" s="4"/>
      <c r="D40" s="4"/>
      <c r="E40" s="4"/>
      <c r="F40" s="4"/>
      <c r="G40" s="4"/>
      <c r="H40" s="4"/>
      <c r="I40" s="4"/>
      <c r="J40" s="4"/>
      <c r="K40" s="4"/>
      <c r="L40" s="4"/>
      <c r="M40" s="4"/>
      <c r="N40" s="4"/>
      <c r="O40" s="4"/>
      <c r="P40" s="4"/>
      <c r="Q40" s="4"/>
      <c r="R40" s="4"/>
    </row>
    <row r="41" spans="1:18">
      <c r="A41" s="126" t="s">
        <v>73</v>
      </c>
      <c r="B41" s="127"/>
      <c r="C41" s="128"/>
      <c r="D41" s="128"/>
      <c r="E41" s="128"/>
      <c r="F41" s="128"/>
      <c r="G41" s="128"/>
      <c r="H41" s="128"/>
      <c r="I41" s="128"/>
      <c r="J41" s="128"/>
      <c r="K41" s="128"/>
      <c r="L41" s="128"/>
      <c r="M41" s="128"/>
      <c r="N41" s="128"/>
      <c r="O41" s="128"/>
      <c r="P41" s="128"/>
      <c r="Q41" s="128"/>
      <c r="R41" s="129"/>
    </row>
    <row r="42" spans="1:18">
      <c r="A42" s="259" t="s">
        <v>74</v>
      </c>
      <c r="B42" s="260"/>
      <c r="C42" s="260"/>
      <c r="D42" s="260"/>
      <c r="E42" s="260"/>
      <c r="F42" s="260"/>
      <c r="G42" s="260"/>
      <c r="H42" s="260"/>
      <c r="I42" s="260"/>
      <c r="J42" s="260"/>
      <c r="K42" s="260"/>
      <c r="L42" s="260"/>
      <c r="M42" s="260"/>
      <c r="N42" s="260"/>
      <c r="O42" s="260"/>
      <c r="P42" s="260"/>
      <c r="Q42" s="260"/>
      <c r="R42" s="261"/>
    </row>
    <row r="43" spans="1:18">
      <c r="A43" s="133" t="s">
        <v>88</v>
      </c>
      <c r="B43" s="152"/>
      <c r="C43" s="152"/>
      <c r="D43" s="152"/>
      <c r="E43" s="152"/>
      <c r="F43" s="152"/>
      <c r="G43" s="152"/>
      <c r="H43" s="152"/>
      <c r="I43" s="152"/>
      <c r="J43" s="152"/>
      <c r="K43" s="152"/>
      <c r="L43" s="152"/>
      <c r="M43" s="152"/>
      <c r="N43" s="152"/>
      <c r="O43" s="152"/>
      <c r="P43" s="152"/>
      <c r="Q43" s="152"/>
      <c r="R43" s="153"/>
    </row>
    <row r="44" spans="1:18">
      <c r="A44" s="130" t="s">
        <v>75</v>
      </c>
      <c r="B44" s="131"/>
      <c r="C44" s="131"/>
      <c r="D44" s="131"/>
      <c r="E44" s="131"/>
      <c r="F44" s="131"/>
      <c r="G44" s="131"/>
      <c r="H44" s="131"/>
      <c r="I44" s="131"/>
      <c r="J44" s="131"/>
      <c r="K44" s="131"/>
      <c r="L44" s="131"/>
      <c r="M44" s="131"/>
      <c r="N44" s="131"/>
      <c r="O44" s="131"/>
      <c r="P44" s="131"/>
      <c r="Q44" s="131"/>
      <c r="R44" s="132"/>
    </row>
    <row r="45" spans="1:18">
      <c r="A45" s="259" t="s">
        <v>89</v>
      </c>
      <c r="B45" s="260"/>
      <c r="C45" s="260"/>
      <c r="D45" s="260"/>
      <c r="E45" s="260"/>
      <c r="F45" s="260"/>
      <c r="G45" s="260"/>
      <c r="H45" s="260"/>
      <c r="I45" s="260"/>
      <c r="J45" s="260"/>
      <c r="K45" s="260"/>
      <c r="L45" s="260"/>
      <c r="M45" s="260"/>
      <c r="N45" s="260"/>
      <c r="O45" s="260"/>
      <c r="P45" s="260"/>
      <c r="Q45" s="260"/>
      <c r="R45" s="261"/>
    </row>
    <row r="46" spans="1:18">
      <c r="A46" s="133" t="s">
        <v>77</v>
      </c>
      <c r="B46" s="134"/>
      <c r="C46" s="134"/>
      <c r="D46" s="134"/>
      <c r="E46" s="134"/>
      <c r="F46" s="134"/>
      <c r="G46" s="134"/>
      <c r="H46" s="134"/>
      <c r="I46" s="62"/>
      <c r="J46" s="62"/>
      <c r="K46" s="62"/>
      <c r="L46" s="62"/>
      <c r="M46" s="62"/>
      <c r="N46" s="134"/>
      <c r="O46" s="134"/>
      <c r="P46" s="134"/>
      <c r="Q46" s="62"/>
      <c r="R46" s="135"/>
    </row>
    <row r="47" spans="1:18">
      <c r="A47" s="259" t="s">
        <v>90</v>
      </c>
      <c r="B47" s="260"/>
      <c r="C47" s="260"/>
      <c r="D47" s="260"/>
      <c r="E47" s="260"/>
      <c r="F47" s="260"/>
      <c r="G47" s="260"/>
      <c r="H47" s="260"/>
      <c r="I47" s="260"/>
      <c r="J47" s="260"/>
      <c r="K47" s="260"/>
      <c r="L47" s="260"/>
      <c r="M47" s="260"/>
      <c r="N47" s="260"/>
      <c r="O47" s="260"/>
      <c r="P47" s="260"/>
      <c r="Q47" s="260"/>
      <c r="R47" s="261"/>
    </row>
    <row r="48" spans="1:18">
      <c r="A48" s="259" t="s">
        <v>91</v>
      </c>
      <c r="B48" s="260"/>
      <c r="C48" s="260"/>
      <c r="D48" s="260"/>
      <c r="E48" s="260"/>
      <c r="F48" s="260"/>
      <c r="G48" s="260"/>
      <c r="H48" s="260"/>
      <c r="I48" s="260"/>
      <c r="J48" s="260"/>
      <c r="K48" s="260"/>
      <c r="L48" s="260"/>
      <c r="M48" s="260"/>
      <c r="N48" s="260"/>
      <c r="O48" s="260"/>
      <c r="P48" s="260"/>
      <c r="Q48" s="260"/>
      <c r="R48" s="261"/>
    </row>
    <row r="49" spans="1:18">
      <c r="A49" s="136"/>
      <c r="B49" s="137"/>
      <c r="C49" s="137"/>
      <c r="D49" s="137"/>
      <c r="E49" s="137"/>
      <c r="F49" s="137"/>
      <c r="G49" s="137"/>
      <c r="H49" s="137"/>
      <c r="I49" s="138"/>
      <c r="J49" s="138"/>
      <c r="K49" s="138"/>
      <c r="L49" s="138"/>
      <c r="M49" s="138"/>
      <c r="N49" s="137"/>
      <c r="O49" s="137"/>
      <c r="P49" s="137"/>
      <c r="Q49" s="138"/>
      <c r="R49" s="139"/>
    </row>
  </sheetData>
  <mergeCells count="6">
    <mergeCell ref="A48:R48"/>
    <mergeCell ref="K2:R2"/>
    <mergeCell ref="K3:R3"/>
    <mergeCell ref="A42:R42"/>
    <mergeCell ref="A45:R45"/>
    <mergeCell ref="A47:R47"/>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6" workbookViewId="0">
      <selection activeCell="R2" sqref="R2"/>
    </sheetView>
  </sheetViews>
  <sheetFormatPr baseColWidth="10" defaultRowHeight="15" x14ac:dyDescent="0"/>
  <sheetData>
    <row r="1" spans="1:17" ht="26" thickBot="1">
      <c r="A1" s="154"/>
      <c r="B1" s="2"/>
      <c r="C1" s="141"/>
      <c r="D1" s="142"/>
      <c r="E1" s="2"/>
      <c r="F1" s="2"/>
      <c r="G1" s="3" t="s">
        <v>92</v>
      </c>
      <c r="H1" s="2"/>
      <c r="I1" s="4"/>
      <c r="J1" s="4"/>
      <c r="K1" s="4"/>
      <c r="L1" s="4"/>
      <c r="M1" s="2"/>
      <c r="N1" s="2"/>
      <c r="O1" s="2"/>
      <c r="P1" s="4"/>
      <c r="Q1" s="4"/>
    </row>
    <row r="2" spans="1:17">
      <c r="A2" s="5" t="s">
        <v>93</v>
      </c>
      <c r="B2" s="6"/>
      <c r="C2" s="7"/>
      <c r="D2" s="8"/>
      <c r="E2" s="8"/>
      <c r="F2" s="8"/>
      <c r="G2" s="8"/>
      <c r="H2" s="8"/>
      <c r="I2" s="9"/>
      <c r="J2" s="253" t="s">
        <v>2</v>
      </c>
      <c r="K2" s="254"/>
      <c r="L2" s="254"/>
      <c r="M2" s="254"/>
      <c r="N2" s="254"/>
      <c r="O2" s="254"/>
      <c r="P2" s="254"/>
      <c r="Q2" s="255"/>
    </row>
    <row r="3" spans="1:17">
      <c r="A3" s="11"/>
      <c r="B3" s="12"/>
      <c r="C3" s="13"/>
      <c r="D3" s="14"/>
      <c r="E3" s="14"/>
      <c r="F3" s="14"/>
      <c r="G3" s="14"/>
      <c r="H3" s="13" t="s">
        <v>3</v>
      </c>
      <c r="I3" s="15" t="s">
        <v>4</v>
      </c>
      <c r="J3" s="256" t="s">
        <v>83</v>
      </c>
      <c r="K3" s="257"/>
      <c r="L3" s="257"/>
      <c r="M3" s="257"/>
      <c r="N3" s="257"/>
      <c r="O3" s="257"/>
      <c r="P3" s="257"/>
      <c r="Q3" s="258"/>
    </row>
    <row r="4" spans="1:17">
      <c r="A4" s="16"/>
      <c r="B4" s="17"/>
      <c r="C4" s="18" t="s">
        <v>7</v>
      </c>
      <c r="D4" s="18" t="s">
        <v>8</v>
      </c>
      <c r="E4" s="18" t="s">
        <v>9</v>
      </c>
      <c r="F4" s="13" t="s">
        <v>10</v>
      </c>
      <c r="G4" s="13" t="s">
        <v>10</v>
      </c>
      <c r="H4" s="13" t="s">
        <v>11</v>
      </c>
      <c r="I4" s="13" t="s">
        <v>12</v>
      </c>
      <c r="J4" s="13" t="s">
        <v>14</v>
      </c>
      <c r="K4" s="13" t="s">
        <v>14</v>
      </c>
      <c r="L4" s="13" t="s">
        <v>14</v>
      </c>
      <c r="M4" s="13" t="s">
        <v>14</v>
      </c>
      <c r="N4" s="13" t="s">
        <v>15</v>
      </c>
      <c r="O4" s="19" t="s">
        <v>16</v>
      </c>
      <c r="P4" s="13" t="s">
        <v>17</v>
      </c>
      <c r="Q4" s="20" t="s">
        <v>18</v>
      </c>
    </row>
    <row r="5" spans="1:17" ht="16" thickBot="1">
      <c r="A5" s="21" t="s">
        <v>19</v>
      </c>
      <c r="B5" s="22" t="s">
        <v>20</v>
      </c>
      <c r="C5" s="23" t="s">
        <v>21</v>
      </c>
      <c r="D5" s="23" t="s">
        <v>22</v>
      </c>
      <c r="E5" s="23" t="s">
        <v>23</v>
      </c>
      <c r="F5" s="24" t="s">
        <v>12</v>
      </c>
      <c r="G5" s="24" t="s">
        <v>24</v>
      </c>
      <c r="H5" s="24" t="s">
        <v>25</v>
      </c>
      <c r="I5" s="24" t="s">
        <v>26</v>
      </c>
      <c r="J5" s="24" t="s">
        <v>27</v>
      </c>
      <c r="K5" s="24" t="s">
        <v>28</v>
      </c>
      <c r="L5" s="24" t="s">
        <v>29</v>
      </c>
      <c r="M5" s="24" t="s">
        <v>30</v>
      </c>
      <c r="N5" s="24" t="s">
        <v>31</v>
      </c>
      <c r="O5" s="25" t="s">
        <v>31</v>
      </c>
      <c r="P5" s="24" t="s">
        <v>13</v>
      </c>
      <c r="Q5" s="26" t="s">
        <v>32</v>
      </c>
    </row>
    <row r="6" spans="1:17" ht="16" thickBot="1">
      <c r="A6" s="27"/>
      <c r="B6" s="28"/>
      <c r="C6" s="28"/>
      <c r="D6" s="28"/>
      <c r="E6" s="28"/>
      <c r="F6" s="28"/>
      <c r="G6" s="28"/>
      <c r="H6" s="28"/>
      <c r="I6" s="29"/>
      <c r="J6" s="29"/>
      <c r="K6" s="29"/>
      <c r="L6" s="29"/>
      <c r="M6" s="28"/>
      <c r="N6" s="28"/>
      <c r="O6" s="28"/>
      <c r="P6" s="29"/>
      <c r="Q6" s="30"/>
    </row>
    <row r="7" spans="1:17" ht="67">
      <c r="A7" s="31" t="s">
        <v>33</v>
      </c>
      <c r="B7" s="8"/>
      <c r="C7" s="32" t="s">
        <v>34</v>
      </c>
      <c r="D7" s="32" t="s">
        <v>34</v>
      </c>
      <c r="E7" s="32" t="s">
        <v>34</v>
      </c>
      <c r="F7" s="33" t="s">
        <v>35</v>
      </c>
      <c r="G7" s="9" t="s">
        <v>36</v>
      </c>
      <c r="H7" s="9" t="s">
        <v>36</v>
      </c>
      <c r="I7" s="33" t="s">
        <v>37</v>
      </c>
      <c r="J7" s="9" t="s">
        <v>36</v>
      </c>
      <c r="K7" s="33" t="s">
        <v>38</v>
      </c>
      <c r="L7" s="33" t="s">
        <v>38</v>
      </c>
      <c r="M7" s="33" t="s">
        <v>38</v>
      </c>
      <c r="N7" s="9" t="s">
        <v>36</v>
      </c>
      <c r="O7" s="9" t="s">
        <v>36</v>
      </c>
      <c r="P7" s="9" t="s">
        <v>36</v>
      </c>
      <c r="Q7" s="34" t="s">
        <v>36</v>
      </c>
    </row>
    <row r="8" spans="1:17">
      <c r="A8" s="35" t="s">
        <v>39</v>
      </c>
      <c r="B8" s="14"/>
      <c r="C8" s="14"/>
      <c r="D8" s="14"/>
      <c r="E8" s="14"/>
      <c r="F8" s="14"/>
      <c r="G8" s="14"/>
      <c r="H8" s="14"/>
      <c r="I8" s="36"/>
      <c r="J8" s="36"/>
      <c r="K8" s="36"/>
      <c r="L8" s="36"/>
      <c r="M8" s="14"/>
      <c r="N8" s="14"/>
      <c r="O8" s="14"/>
      <c r="P8" s="36"/>
      <c r="Q8" s="37"/>
    </row>
    <row r="9" spans="1:17">
      <c r="A9" s="38" t="s">
        <v>40</v>
      </c>
      <c r="B9" s="36" t="s">
        <v>41</v>
      </c>
      <c r="C9" s="36">
        <v>11.5</v>
      </c>
      <c r="D9" s="36">
        <v>1</v>
      </c>
      <c r="E9" s="36"/>
      <c r="F9" s="36">
        <v>17</v>
      </c>
      <c r="G9" s="39">
        <f>(F9/6)</f>
        <v>2.8333333333333335</v>
      </c>
      <c r="H9" s="40">
        <f>SUM(C9:E9)+G9</f>
        <v>15.333333333333334</v>
      </c>
      <c r="I9" s="41">
        <v>1833</v>
      </c>
      <c r="J9" s="36">
        <f>SUM(K9:M9)</f>
        <v>409</v>
      </c>
      <c r="K9" s="36">
        <v>88</v>
      </c>
      <c r="L9" s="36">
        <v>108</v>
      </c>
      <c r="M9" s="36">
        <v>213</v>
      </c>
      <c r="N9" s="42">
        <f>M9/H9</f>
        <v>13.891304347826086</v>
      </c>
      <c r="O9" s="42">
        <f>J9/H9</f>
        <v>26.673913043478258</v>
      </c>
      <c r="P9" s="42">
        <f>(I9/8.5)/H9</f>
        <v>14.063938618925832</v>
      </c>
      <c r="Q9" s="43">
        <f>I9/((H9*0.95)*6)</f>
        <v>20.972540045766589</v>
      </c>
    </row>
    <row r="10" spans="1:17">
      <c r="A10" s="38" t="s">
        <v>42</v>
      </c>
      <c r="B10" s="36" t="s">
        <v>41</v>
      </c>
      <c r="C10" s="36">
        <v>6</v>
      </c>
      <c r="D10" s="36">
        <v>0</v>
      </c>
      <c r="E10" s="36"/>
      <c r="F10" s="36">
        <v>0</v>
      </c>
      <c r="G10" s="39">
        <f>(F10/6)</f>
        <v>0</v>
      </c>
      <c r="H10" s="40">
        <f>SUM(C10:E10)+G10</f>
        <v>6</v>
      </c>
      <c r="I10" s="41">
        <v>681</v>
      </c>
      <c r="J10" s="36">
        <f>SUM(K10:M10)</f>
        <v>70</v>
      </c>
      <c r="K10" s="36">
        <v>9</v>
      </c>
      <c r="L10" s="36">
        <v>24</v>
      </c>
      <c r="M10" s="36">
        <v>37</v>
      </c>
      <c r="N10" s="42">
        <f>M10/H10</f>
        <v>6.166666666666667</v>
      </c>
      <c r="O10" s="42">
        <f>J10/H10</f>
        <v>11.666666666666666</v>
      </c>
      <c r="P10" s="42">
        <f>(I10/8.5)/H10</f>
        <v>13.352941176470589</v>
      </c>
      <c r="Q10" s="43">
        <f>I10/((H10*0.95)*6)</f>
        <v>19.912280701754387</v>
      </c>
    </row>
    <row r="11" spans="1:17">
      <c r="A11" s="38"/>
      <c r="B11" s="36"/>
      <c r="C11" s="36"/>
      <c r="D11" s="36"/>
      <c r="E11" s="36"/>
      <c r="F11" s="36"/>
      <c r="G11" s="39"/>
      <c r="H11" s="40"/>
      <c r="I11" s="41"/>
      <c r="J11" s="36"/>
      <c r="K11" s="36"/>
      <c r="L11" s="36"/>
      <c r="M11" s="36"/>
      <c r="N11" s="42"/>
      <c r="O11" s="42"/>
      <c r="P11" s="42"/>
      <c r="Q11" s="43"/>
    </row>
    <row r="12" spans="1:17">
      <c r="A12" s="38" t="s">
        <v>43</v>
      </c>
      <c r="B12" s="36" t="s">
        <v>44</v>
      </c>
      <c r="C12" s="36">
        <v>11.5</v>
      </c>
      <c r="D12" s="44">
        <v>0</v>
      </c>
      <c r="E12" s="36"/>
      <c r="F12" s="36">
        <v>5</v>
      </c>
      <c r="G12" s="39">
        <f>(F12/6)</f>
        <v>0.83333333333333337</v>
      </c>
      <c r="H12" s="40">
        <f t="shared" ref="H12:H18" si="0">SUM(C12:E12)+G12</f>
        <v>12.333333333333334</v>
      </c>
      <c r="I12" s="41">
        <v>953</v>
      </c>
      <c r="J12" s="36">
        <f t="shared" ref="J12:J18" si="1">SUM(K12:M12)</f>
        <v>124</v>
      </c>
      <c r="K12" s="36">
        <v>27</v>
      </c>
      <c r="L12" s="36">
        <v>27</v>
      </c>
      <c r="M12" s="36">
        <v>70</v>
      </c>
      <c r="N12" s="42">
        <f t="shared" ref="N12:N18" si="2">M12/H12</f>
        <v>5.6756756756756754</v>
      </c>
      <c r="O12" s="42">
        <f t="shared" ref="O12:O18" si="3">J12/H12</f>
        <v>10.054054054054054</v>
      </c>
      <c r="P12" s="42">
        <f t="shared" ref="P12:P18" si="4">(I12/8.5)/H12</f>
        <v>9.0906200317965027</v>
      </c>
      <c r="Q12" s="43">
        <f t="shared" ref="Q12:Q18" si="5">I12/((H12*0.95)*6)</f>
        <v>13.556187766714084</v>
      </c>
    </row>
    <row r="13" spans="1:17">
      <c r="A13" s="38" t="s">
        <v>45</v>
      </c>
      <c r="B13" s="36" t="s">
        <v>44</v>
      </c>
      <c r="C13" s="36">
        <v>5.5</v>
      </c>
      <c r="D13" s="36">
        <v>0</v>
      </c>
      <c r="E13" s="36"/>
      <c r="F13" s="36">
        <v>13.5</v>
      </c>
      <c r="G13" s="39">
        <f>(F13/6)</f>
        <v>2.25</v>
      </c>
      <c r="H13" s="40">
        <f t="shared" si="0"/>
        <v>7.75</v>
      </c>
      <c r="I13" s="41">
        <v>809</v>
      </c>
      <c r="J13" s="36">
        <f t="shared" si="1"/>
        <v>47</v>
      </c>
      <c r="K13" s="36">
        <v>2</v>
      </c>
      <c r="L13" s="36">
        <v>11</v>
      </c>
      <c r="M13" s="36">
        <v>34</v>
      </c>
      <c r="N13" s="42">
        <f t="shared" si="2"/>
        <v>4.387096774193548</v>
      </c>
      <c r="O13" s="42">
        <f t="shared" si="3"/>
        <v>6.064516129032258</v>
      </c>
      <c r="P13" s="42">
        <f t="shared" si="4"/>
        <v>12.280834914611004</v>
      </c>
      <c r="Q13" s="43">
        <f t="shared" si="5"/>
        <v>18.313525749858517</v>
      </c>
    </row>
    <row r="14" spans="1:17">
      <c r="A14" s="38" t="s">
        <v>46</v>
      </c>
      <c r="B14" s="36" t="s">
        <v>44</v>
      </c>
      <c r="C14" s="36">
        <v>3</v>
      </c>
      <c r="D14" s="36">
        <v>2</v>
      </c>
      <c r="E14" s="36"/>
      <c r="F14" s="36">
        <v>4</v>
      </c>
      <c r="G14" s="39">
        <f>(F14/6)</f>
        <v>0.66666666666666663</v>
      </c>
      <c r="H14" s="40">
        <f t="shared" si="0"/>
        <v>5.666666666666667</v>
      </c>
      <c r="I14" s="41">
        <v>650</v>
      </c>
      <c r="J14" s="36">
        <f t="shared" si="1"/>
        <v>22</v>
      </c>
      <c r="K14" s="36">
        <v>1</v>
      </c>
      <c r="L14" s="36">
        <v>5</v>
      </c>
      <c r="M14" s="36">
        <v>16</v>
      </c>
      <c r="N14" s="42">
        <f t="shared" si="2"/>
        <v>2.8235294117647056</v>
      </c>
      <c r="O14" s="42">
        <f t="shared" si="3"/>
        <v>3.8823529411764706</v>
      </c>
      <c r="P14" s="42">
        <f t="shared" si="4"/>
        <v>13.494809688581315</v>
      </c>
      <c r="Q14" s="43">
        <f t="shared" si="5"/>
        <v>20.123839009287924</v>
      </c>
    </row>
    <row r="15" spans="1:17">
      <c r="A15" s="38" t="s">
        <v>47</v>
      </c>
      <c r="B15" s="36" t="s">
        <v>44</v>
      </c>
      <c r="C15" s="36">
        <v>3</v>
      </c>
      <c r="D15" s="36">
        <v>2</v>
      </c>
      <c r="E15" s="36"/>
      <c r="F15" s="36">
        <v>0</v>
      </c>
      <c r="G15" s="39">
        <f>(F15/6)</f>
        <v>0</v>
      </c>
      <c r="H15" s="40">
        <f t="shared" si="0"/>
        <v>5</v>
      </c>
      <c r="I15" s="41">
        <v>518</v>
      </c>
      <c r="J15" s="36">
        <f t="shared" si="1"/>
        <v>16</v>
      </c>
      <c r="K15" s="36">
        <v>0</v>
      </c>
      <c r="L15" s="36">
        <v>4</v>
      </c>
      <c r="M15" s="36">
        <v>12</v>
      </c>
      <c r="N15" s="42">
        <f t="shared" si="2"/>
        <v>2.4</v>
      </c>
      <c r="O15" s="42">
        <f t="shared" si="3"/>
        <v>3.2</v>
      </c>
      <c r="P15" s="42">
        <f t="shared" si="4"/>
        <v>12.188235294117646</v>
      </c>
      <c r="Q15" s="43">
        <f t="shared" si="5"/>
        <v>18.17543859649123</v>
      </c>
    </row>
    <row r="16" spans="1:17">
      <c r="A16" s="143" t="s">
        <v>48</v>
      </c>
      <c r="B16" s="144" t="s">
        <v>44</v>
      </c>
      <c r="C16" s="144">
        <v>3</v>
      </c>
      <c r="D16" s="144">
        <v>1</v>
      </c>
      <c r="E16" s="144"/>
      <c r="F16" s="144">
        <v>5</v>
      </c>
      <c r="G16" s="145">
        <f>F16/6</f>
        <v>0.83333333333333337</v>
      </c>
      <c r="H16" s="146">
        <f t="shared" si="0"/>
        <v>4.833333333333333</v>
      </c>
      <c r="I16" s="147">
        <v>459</v>
      </c>
      <c r="J16" s="144">
        <f t="shared" si="1"/>
        <v>7</v>
      </c>
      <c r="K16" s="144">
        <v>1</v>
      </c>
      <c r="L16" s="144">
        <v>3</v>
      </c>
      <c r="M16" s="144">
        <v>3</v>
      </c>
      <c r="N16" s="148">
        <f t="shared" si="2"/>
        <v>0.62068965517241381</v>
      </c>
      <c r="O16" s="148">
        <f t="shared" si="3"/>
        <v>1.4482758620689655</v>
      </c>
      <c r="P16" s="148">
        <f t="shared" si="4"/>
        <v>11.172413793103448</v>
      </c>
      <c r="Q16" s="149">
        <f t="shared" si="5"/>
        <v>16.660617059891109</v>
      </c>
    </row>
    <row r="17" spans="1:17">
      <c r="A17" s="38" t="s">
        <v>94</v>
      </c>
      <c r="B17" s="36"/>
      <c r="C17" s="36">
        <v>3</v>
      </c>
      <c r="D17" s="36"/>
      <c r="E17" s="36"/>
      <c r="F17" s="36">
        <v>4</v>
      </c>
      <c r="G17" s="39">
        <f>F17/6</f>
        <v>0.66666666666666663</v>
      </c>
      <c r="H17" s="40">
        <f t="shared" si="0"/>
        <v>3.6666666666666665</v>
      </c>
      <c r="I17" s="41">
        <v>191</v>
      </c>
      <c r="J17" s="36">
        <f t="shared" si="1"/>
        <v>23</v>
      </c>
      <c r="K17" s="36">
        <v>0</v>
      </c>
      <c r="L17" s="36">
        <v>5</v>
      </c>
      <c r="M17" s="36">
        <v>18</v>
      </c>
      <c r="N17" s="42">
        <f t="shared" si="2"/>
        <v>4.9090909090909092</v>
      </c>
      <c r="O17" s="42">
        <f t="shared" si="3"/>
        <v>6.2727272727272734</v>
      </c>
      <c r="P17" s="42">
        <f t="shared" si="4"/>
        <v>6.1283422459893044</v>
      </c>
      <c r="Q17" s="43">
        <f t="shared" si="5"/>
        <v>9.1387559808612444</v>
      </c>
    </row>
    <row r="18" spans="1:17">
      <c r="A18" s="38" t="s">
        <v>95</v>
      </c>
      <c r="B18" s="36"/>
      <c r="C18" s="36">
        <v>1</v>
      </c>
      <c r="D18" s="36">
        <v>1</v>
      </c>
      <c r="E18" s="36"/>
      <c r="F18" s="36"/>
      <c r="G18" s="39"/>
      <c r="H18" s="40">
        <f t="shared" si="0"/>
        <v>2</v>
      </c>
      <c r="I18" s="41">
        <v>71</v>
      </c>
      <c r="J18" s="36">
        <f t="shared" si="1"/>
        <v>2</v>
      </c>
      <c r="K18" s="36">
        <v>0</v>
      </c>
      <c r="L18" s="36">
        <v>0</v>
      </c>
      <c r="M18" s="36">
        <v>2</v>
      </c>
      <c r="N18" s="42">
        <f t="shared" si="2"/>
        <v>1</v>
      </c>
      <c r="O18" s="42">
        <f t="shared" si="3"/>
        <v>1</v>
      </c>
      <c r="P18" s="42">
        <f t="shared" si="4"/>
        <v>4.1764705882352944</v>
      </c>
      <c r="Q18" s="43">
        <f t="shared" si="5"/>
        <v>6.2280701754385976</v>
      </c>
    </row>
    <row r="19" spans="1:17">
      <c r="A19" s="38"/>
      <c r="B19" s="36"/>
      <c r="C19" s="36"/>
      <c r="D19" s="36"/>
      <c r="E19" s="36"/>
      <c r="F19" s="36"/>
      <c r="G19" s="39"/>
      <c r="H19" s="40"/>
      <c r="I19" s="41"/>
      <c r="J19" s="36"/>
      <c r="K19" s="36"/>
      <c r="L19" s="36"/>
      <c r="M19" s="36"/>
      <c r="N19" s="42"/>
      <c r="O19" s="42"/>
      <c r="P19" s="42"/>
      <c r="Q19" s="43"/>
    </row>
    <row r="20" spans="1:17">
      <c r="A20" s="38" t="s">
        <v>52</v>
      </c>
      <c r="B20" s="36" t="s">
        <v>53</v>
      </c>
      <c r="C20" s="36">
        <v>8.5</v>
      </c>
      <c r="D20" s="36">
        <v>0</v>
      </c>
      <c r="E20" s="36">
        <v>1</v>
      </c>
      <c r="F20" s="36">
        <v>3</v>
      </c>
      <c r="G20" s="39">
        <f>(F20/6)</f>
        <v>0.5</v>
      </c>
      <c r="H20" s="40">
        <f>SUM(C20:E20)+G20</f>
        <v>10</v>
      </c>
      <c r="I20" s="41">
        <v>878.5</v>
      </c>
      <c r="J20" s="36">
        <f>SUM(K20:M20)</f>
        <v>228</v>
      </c>
      <c r="K20" s="36">
        <v>105</v>
      </c>
      <c r="L20" s="36">
        <v>42</v>
      </c>
      <c r="M20" s="36">
        <v>81</v>
      </c>
      <c r="N20" s="42">
        <f>M20/H20</f>
        <v>8.1</v>
      </c>
      <c r="O20" s="42">
        <f>J20/H20</f>
        <v>22.8</v>
      </c>
      <c r="P20" s="42">
        <f>(I20/8.5)/H20</f>
        <v>10.335294117647059</v>
      </c>
      <c r="Q20" s="43">
        <f>I20/((H20*0.95)*6)</f>
        <v>15.412280701754385</v>
      </c>
    </row>
    <row r="21" spans="1:17">
      <c r="A21" s="38" t="s">
        <v>54</v>
      </c>
      <c r="B21" s="36" t="s">
        <v>53</v>
      </c>
      <c r="C21" s="36">
        <v>4.5</v>
      </c>
      <c r="D21" s="36">
        <v>1</v>
      </c>
      <c r="E21" s="36">
        <v>1</v>
      </c>
      <c r="F21" s="36">
        <v>7.5</v>
      </c>
      <c r="G21" s="39">
        <f>(F21/6)</f>
        <v>1.25</v>
      </c>
      <c r="H21" s="40">
        <f>SUM(C21:E21)+G21</f>
        <v>7.75</v>
      </c>
      <c r="I21" s="41">
        <v>612</v>
      </c>
      <c r="J21" s="36">
        <f>SUM(K21:M21)</f>
        <v>62</v>
      </c>
      <c r="K21" s="36">
        <v>25</v>
      </c>
      <c r="L21" s="36">
        <v>11</v>
      </c>
      <c r="M21" s="36">
        <v>26</v>
      </c>
      <c r="N21" s="42">
        <f>M21/H21</f>
        <v>3.3548387096774195</v>
      </c>
      <c r="O21" s="42">
        <f>J21/H21</f>
        <v>8</v>
      </c>
      <c r="P21" s="42">
        <f>(I21/8.5)/H21</f>
        <v>9.2903225806451619</v>
      </c>
      <c r="Q21" s="43">
        <f>I21/((H21*0.95)*6)</f>
        <v>13.853989813242785</v>
      </c>
    </row>
    <row r="22" spans="1:17">
      <c r="A22" s="38" t="s">
        <v>96</v>
      </c>
      <c r="B22" s="36" t="s">
        <v>53</v>
      </c>
      <c r="C22" s="36">
        <v>8</v>
      </c>
      <c r="D22" s="36">
        <v>2</v>
      </c>
      <c r="E22" s="36"/>
      <c r="F22" s="36">
        <v>4</v>
      </c>
      <c r="G22" s="39">
        <f>(F22/6)</f>
        <v>0.66666666666666663</v>
      </c>
      <c r="H22" s="40">
        <f>SUM(C22:E22)+G22</f>
        <v>10.666666666666666</v>
      </c>
      <c r="I22" s="41">
        <v>971</v>
      </c>
      <c r="J22" s="36">
        <f>SUM(K22:M22)</f>
        <v>98</v>
      </c>
      <c r="K22" s="36">
        <v>31</v>
      </c>
      <c r="L22" s="36">
        <v>24</v>
      </c>
      <c r="M22" s="36">
        <v>43</v>
      </c>
      <c r="N22" s="42">
        <f>M22/H22</f>
        <v>4.03125</v>
      </c>
      <c r="O22" s="42">
        <f>J22/H22</f>
        <v>9.1875</v>
      </c>
      <c r="P22" s="42">
        <f>(I22/8.5)/H22</f>
        <v>10.709558823529413</v>
      </c>
      <c r="Q22" s="43">
        <f>I22/((H22*0.95)*6)</f>
        <v>15.970394736842106</v>
      </c>
    </row>
    <row r="23" spans="1:17">
      <c r="A23" s="38" t="s">
        <v>57</v>
      </c>
      <c r="B23" s="36" t="s">
        <v>53</v>
      </c>
      <c r="C23" s="36">
        <v>5</v>
      </c>
      <c r="D23" s="36">
        <v>0</v>
      </c>
      <c r="E23" s="36"/>
      <c r="F23" s="36">
        <v>2</v>
      </c>
      <c r="G23" s="39">
        <f>(F23/6)</f>
        <v>0.33333333333333331</v>
      </c>
      <c r="H23" s="40">
        <f>SUM(C23:E23)+G23</f>
        <v>5.333333333333333</v>
      </c>
      <c r="I23" s="41">
        <v>440</v>
      </c>
      <c r="J23" s="36">
        <f>SUM(K23:M23)</f>
        <v>46</v>
      </c>
      <c r="K23" s="36">
        <v>11</v>
      </c>
      <c r="L23" s="36">
        <v>12</v>
      </c>
      <c r="M23" s="36">
        <v>23</v>
      </c>
      <c r="N23" s="42">
        <f>M23/H23</f>
        <v>4.3125</v>
      </c>
      <c r="O23" s="42">
        <f>J23/H23</f>
        <v>8.625</v>
      </c>
      <c r="P23" s="42">
        <f>(I23/8.5)/H23</f>
        <v>9.7058823529411775</v>
      </c>
      <c r="Q23" s="43">
        <f>I23/((H23*0.95)*6)</f>
        <v>14.473684210526317</v>
      </c>
    </row>
    <row r="24" spans="1:17">
      <c r="A24" s="38" t="s">
        <v>58</v>
      </c>
      <c r="B24" s="36" t="s">
        <v>53</v>
      </c>
      <c r="C24" s="36">
        <v>6</v>
      </c>
      <c r="D24" s="36">
        <v>3</v>
      </c>
      <c r="E24" s="36"/>
      <c r="F24" s="36">
        <v>5</v>
      </c>
      <c r="G24" s="39">
        <f>(F24/6)</f>
        <v>0.83333333333333337</v>
      </c>
      <c r="H24" s="40">
        <f>SUM(C24:E24)+G24</f>
        <v>9.8333333333333339</v>
      </c>
      <c r="I24" s="41">
        <v>1156</v>
      </c>
      <c r="J24" s="36">
        <f>SUM(K24:M24)</f>
        <v>177</v>
      </c>
      <c r="K24" s="36">
        <v>36</v>
      </c>
      <c r="L24" s="36">
        <v>45</v>
      </c>
      <c r="M24" s="36">
        <v>96</v>
      </c>
      <c r="N24" s="42">
        <f>M24/H24</f>
        <v>9.7627118644067785</v>
      </c>
      <c r="O24" s="42">
        <f>J24/H24</f>
        <v>18</v>
      </c>
      <c r="P24" s="42">
        <f>(I24/8.5)/H24</f>
        <v>13.83050847457627</v>
      </c>
      <c r="Q24" s="43">
        <f>I24/((H24*0.95)*6)</f>
        <v>20.624442462087423</v>
      </c>
    </row>
    <row r="25" spans="1:17">
      <c r="A25" s="38"/>
      <c r="B25" s="36"/>
      <c r="C25" s="36"/>
      <c r="D25" s="36"/>
      <c r="E25" s="36"/>
      <c r="F25" s="36"/>
      <c r="G25" s="39"/>
      <c r="H25" s="40"/>
      <c r="I25" s="41"/>
      <c r="J25" s="36"/>
      <c r="K25" s="36"/>
      <c r="L25" s="36"/>
      <c r="M25" s="36"/>
      <c r="N25" s="42"/>
      <c r="O25" s="42"/>
      <c r="P25" s="42"/>
      <c r="Q25" s="43"/>
    </row>
    <row r="26" spans="1:17">
      <c r="A26" s="38" t="s">
        <v>59</v>
      </c>
      <c r="B26" s="36" t="s">
        <v>60</v>
      </c>
      <c r="C26" s="36">
        <v>5</v>
      </c>
      <c r="D26" s="36">
        <v>3</v>
      </c>
      <c r="E26" s="36"/>
      <c r="F26" s="36">
        <v>4</v>
      </c>
      <c r="G26" s="39">
        <f>(F26/6)</f>
        <v>0.66666666666666663</v>
      </c>
      <c r="H26" s="40">
        <f>SUM(C26:E26)+G26</f>
        <v>8.6666666666666661</v>
      </c>
      <c r="I26" s="41">
        <v>487</v>
      </c>
      <c r="J26" s="36">
        <f>SUM(K26:M26)</f>
        <v>82</v>
      </c>
      <c r="K26" s="36">
        <v>12</v>
      </c>
      <c r="L26" s="36">
        <v>21</v>
      </c>
      <c r="M26" s="36">
        <v>49</v>
      </c>
      <c r="N26" s="42">
        <f>M26/H26</f>
        <v>5.6538461538461542</v>
      </c>
      <c r="O26" s="42">
        <f>J26/H26</f>
        <v>9.4615384615384617</v>
      </c>
      <c r="P26" s="42">
        <f>(I26/8.5)/H26</f>
        <v>6.6108597285067878</v>
      </c>
      <c r="Q26" s="43">
        <f>I26/((H26*0.95)*6)</f>
        <v>9.8582995951417018</v>
      </c>
    </row>
    <row r="27" spans="1:17">
      <c r="A27" s="38" t="s">
        <v>61</v>
      </c>
      <c r="B27" s="36" t="s">
        <v>60</v>
      </c>
      <c r="C27" s="36">
        <v>6</v>
      </c>
      <c r="D27" s="36">
        <v>1.67</v>
      </c>
      <c r="E27" s="36"/>
      <c r="F27" s="36">
        <v>3</v>
      </c>
      <c r="G27" s="39">
        <f>(F27/6)</f>
        <v>0.5</v>
      </c>
      <c r="H27" s="40">
        <f>SUM(C27:E27)+G27</f>
        <v>8.17</v>
      </c>
      <c r="I27" s="41">
        <v>873</v>
      </c>
      <c r="J27" s="36">
        <f>SUM(K27:M27)</f>
        <v>63</v>
      </c>
      <c r="K27" s="36">
        <v>13</v>
      </c>
      <c r="L27" s="36">
        <v>8</v>
      </c>
      <c r="M27" s="36">
        <v>42</v>
      </c>
      <c r="N27" s="42">
        <f>M27/H27</f>
        <v>5.1407588739290082</v>
      </c>
      <c r="O27" s="42">
        <f>J27/H27</f>
        <v>7.7111383108935128</v>
      </c>
      <c r="P27" s="42">
        <f>(I27/8.5)/H27</f>
        <v>12.57109943120455</v>
      </c>
      <c r="Q27" s="43">
        <f>I27/((H27*0.95)*6)</f>
        <v>18.746376344778714</v>
      </c>
    </row>
    <row r="28" spans="1:17">
      <c r="A28" s="38" t="s">
        <v>62</v>
      </c>
      <c r="B28" s="36" t="s">
        <v>60</v>
      </c>
      <c r="C28" s="36">
        <v>7</v>
      </c>
      <c r="D28" s="36">
        <v>0</v>
      </c>
      <c r="E28" s="36"/>
      <c r="F28" s="36">
        <v>3</v>
      </c>
      <c r="G28" s="39">
        <f>(F28/6)</f>
        <v>0.5</v>
      </c>
      <c r="H28" s="40">
        <f>SUM(C28:E28)+G28</f>
        <v>7.5</v>
      </c>
      <c r="I28" s="41">
        <v>599</v>
      </c>
      <c r="J28" s="36">
        <f>SUM(K28:M28)</f>
        <v>79</v>
      </c>
      <c r="K28" s="36">
        <v>18</v>
      </c>
      <c r="L28" s="36">
        <v>15</v>
      </c>
      <c r="M28" s="36">
        <v>46</v>
      </c>
      <c r="N28" s="42">
        <f>M28/H28</f>
        <v>6.1333333333333337</v>
      </c>
      <c r="O28" s="42">
        <f>J28/H28</f>
        <v>10.533333333333333</v>
      </c>
      <c r="P28" s="42">
        <f>(I28/8.5)/H28</f>
        <v>9.3960784313725494</v>
      </c>
      <c r="Q28" s="43">
        <f>I28/((H28*0.95)*6)</f>
        <v>14.011695906432749</v>
      </c>
    </row>
    <row r="29" spans="1:17" ht="16" thickBot="1">
      <c r="A29" s="150" t="s">
        <v>86</v>
      </c>
      <c r="B29" s="102" t="s">
        <v>60</v>
      </c>
      <c r="C29" s="102">
        <v>5.5</v>
      </c>
      <c r="D29" s="102">
        <v>0</v>
      </c>
      <c r="E29" s="102"/>
      <c r="F29" s="102">
        <v>5</v>
      </c>
      <c r="G29" s="104">
        <f>(F29/6)</f>
        <v>0.83333333333333337</v>
      </c>
      <c r="H29" s="105">
        <f>SUM(C29:E29)+G29</f>
        <v>6.333333333333333</v>
      </c>
      <c r="I29" s="151">
        <v>787</v>
      </c>
      <c r="J29" s="102">
        <f>SUM(K29:M29)</f>
        <v>66</v>
      </c>
      <c r="K29" s="102">
        <v>8</v>
      </c>
      <c r="L29" s="102">
        <v>16</v>
      </c>
      <c r="M29" s="102">
        <v>42</v>
      </c>
      <c r="N29" s="108">
        <f>M29/H29</f>
        <v>6.6315789473684212</v>
      </c>
      <c r="O29" s="108">
        <f>J29/H29</f>
        <v>10.421052631578949</v>
      </c>
      <c r="P29" s="108">
        <f>(I29/8.5)/H29</f>
        <v>14.61919504643963</v>
      </c>
      <c r="Q29" s="109">
        <f>I29/((H29*0.95)*6)</f>
        <v>21.800554016620502</v>
      </c>
    </row>
    <row r="30" spans="1:17" ht="16" thickBot="1">
      <c r="A30" s="27"/>
      <c r="B30" s="28"/>
      <c r="C30" s="29"/>
      <c r="D30" s="29"/>
      <c r="E30" s="29"/>
      <c r="F30" s="29"/>
      <c r="G30" s="59"/>
      <c r="H30" s="60"/>
      <c r="I30" s="61"/>
      <c r="J30" s="62"/>
      <c r="K30" s="62"/>
      <c r="L30" s="62"/>
      <c r="M30" s="62"/>
      <c r="N30" s="63"/>
      <c r="O30" s="63"/>
      <c r="P30" s="63"/>
      <c r="Q30" s="64"/>
    </row>
    <row r="31" spans="1:17" ht="16" thickBot="1">
      <c r="A31" s="65" t="s">
        <v>65</v>
      </c>
      <c r="B31" s="66"/>
      <c r="C31" s="67">
        <f>SUM(C9:C29)</f>
        <v>103</v>
      </c>
      <c r="D31" s="67">
        <f>SUM(D9:D29)</f>
        <v>17.670000000000002</v>
      </c>
      <c r="E31" s="67">
        <f>SUM(E9:E29)</f>
        <v>2</v>
      </c>
      <c r="F31" s="67"/>
      <c r="G31" s="68">
        <f>SUM(G9:G29)</f>
        <v>14.166666666666668</v>
      </c>
      <c r="H31" s="69">
        <f>SUM(C31:G31)</f>
        <v>136.83666666666667</v>
      </c>
      <c r="I31" s="70">
        <f>SUM(I9:I29)</f>
        <v>12968.5</v>
      </c>
      <c r="J31" s="71">
        <f>SUM(J9:J29)</f>
        <v>1621</v>
      </c>
      <c r="K31" s="72">
        <f>SUM(K9:K29)</f>
        <v>387</v>
      </c>
      <c r="L31" s="72">
        <f>SUM(L9:L29)</f>
        <v>381</v>
      </c>
      <c r="M31" s="71">
        <f>SUM(M9:M29)</f>
        <v>853</v>
      </c>
      <c r="N31" s="73">
        <f>M31/H31</f>
        <v>6.2337092884460787</v>
      </c>
      <c r="O31" s="73">
        <f>J31/H31</f>
        <v>11.846240042873498</v>
      </c>
      <c r="P31" s="73">
        <f>(I31/8.5)/H31</f>
        <v>11.149832274631125</v>
      </c>
      <c r="Q31" s="74">
        <f>I31/((H31*0.95)*6)</f>
        <v>16.626942865677993</v>
      </c>
    </row>
    <row r="32" spans="1:17" ht="16" thickBot="1">
      <c r="A32" s="75"/>
      <c r="B32" s="2"/>
      <c r="C32" s="4"/>
      <c r="D32" s="4"/>
      <c r="E32" s="4"/>
      <c r="F32" s="4"/>
      <c r="G32" s="76"/>
      <c r="H32" s="77"/>
      <c r="I32" s="78"/>
      <c r="J32" s="79"/>
      <c r="K32" s="79"/>
      <c r="L32" s="79"/>
      <c r="M32" s="79"/>
      <c r="N32" s="80"/>
      <c r="O32" s="80"/>
      <c r="P32" s="80"/>
      <c r="Q32" s="80"/>
    </row>
    <row r="33" spans="1:17" ht="16" thickBot="1">
      <c r="A33" s="81" t="s">
        <v>66</v>
      </c>
      <c r="B33" s="82"/>
      <c r="C33" s="83"/>
      <c r="D33" s="83"/>
      <c r="E33" s="83"/>
      <c r="F33" s="83"/>
      <c r="G33" s="84"/>
      <c r="H33" s="83"/>
      <c r="I33" s="84"/>
      <c r="J33" s="85"/>
      <c r="K33" s="85"/>
      <c r="L33" s="85"/>
      <c r="M33" s="85"/>
      <c r="N33" s="86"/>
      <c r="O33" s="86"/>
      <c r="P33" s="86"/>
      <c r="Q33" s="87"/>
    </row>
    <row r="34" spans="1:17">
      <c r="A34" s="88" t="s">
        <v>67</v>
      </c>
      <c r="B34" s="8"/>
      <c r="C34" s="9">
        <v>4</v>
      </c>
      <c r="D34" s="9">
        <v>0</v>
      </c>
      <c r="E34" s="9"/>
      <c r="F34" s="9">
        <v>6</v>
      </c>
      <c r="G34" s="89">
        <f>(F34/6)</f>
        <v>1</v>
      </c>
      <c r="H34" s="90">
        <f>SUM(C34:E34)+G34</f>
        <v>5</v>
      </c>
      <c r="I34" s="91">
        <v>426</v>
      </c>
      <c r="J34" s="9">
        <f>SUM(K34:M34)</f>
        <v>52</v>
      </c>
      <c r="K34" s="9">
        <v>20</v>
      </c>
      <c r="L34" s="9">
        <v>12</v>
      </c>
      <c r="M34" s="9">
        <v>20</v>
      </c>
      <c r="N34" s="93">
        <f>M34/H34</f>
        <v>4</v>
      </c>
      <c r="O34" s="93">
        <f>J34/H34</f>
        <v>10.4</v>
      </c>
      <c r="P34" s="93">
        <f>(I34/8.5)/H34</f>
        <v>10.023529411764706</v>
      </c>
      <c r="Q34" s="94">
        <f>I34/((H34*0.95)*6)</f>
        <v>14.947368421052632</v>
      </c>
    </row>
    <row r="35" spans="1:17">
      <c r="A35" s="95" t="s">
        <v>68</v>
      </c>
      <c r="B35" s="14"/>
      <c r="C35" s="36">
        <v>14</v>
      </c>
      <c r="D35" s="36">
        <v>5</v>
      </c>
      <c r="E35" s="36">
        <v>0</v>
      </c>
      <c r="F35" s="96">
        <v>90</v>
      </c>
      <c r="G35" s="39">
        <f>(F35/6)</f>
        <v>15</v>
      </c>
      <c r="H35" s="40">
        <f>SUM(C35:E35)+G35</f>
        <v>34</v>
      </c>
      <c r="I35" s="97">
        <v>1232.75</v>
      </c>
      <c r="J35" s="36">
        <f>SUM(K35:M35)</f>
        <v>131</v>
      </c>
      <c r="K35" s="36">
        <v>33</v>
      </c>
      <c r="L35" s="36">
        <v>37</v>
      </c>
      <c r="M35" s="36">
        <v>61</v>
      </c>
      <c r="N35" s="42">
        <f>M35/H35</f>
        <v>1.7941176470588236</v>
      </c>
      <c r="O35" s="42">
        <f>J35/H35</f>
        <v>3.8529411764705883</v>
      </c>
      <c r="P35" s="42">
        <f>(I35/8.5)/H35</f>
        <v>4.265570934256055</v>
      </c>
      <c r="Q35" s="43">
        <f>I35/((H35*0.95)*6)</f>
        <v>6.3609391124871006</v>
      </c>
    </row>
    <row r="36" spans="1:17">
      <c r="A36" s="95" t="s">
        <v>69</v>
      </c>
      <c r="B36" s="14"/>
      <c r="C36" s="36">
        <v>5</v>
      </c>
      <c r="D36" s="36">
        <v>3</v>
      </c>
      <c r="E36" s="36">
        <v>1</v>
      </c>
      <c r="F36" s="36">
        <v>36</v>
      </c>
      <c r="G36" s="39">
        <f>(F36/6)</f>
        <v>6</v>
      </c>
      <c r="H36" s="40">
        <f>SUM(C36:E36)+G36</f>
        <v>15</v>
      </c>
      <c r="I36" s="99">
        <v>813</v>
      </c>
      <c r="J36" s="36">
        <v>129</v>
      </c>
      <c r="K36" s="36">
        <v>33</v>
      </c>
      <c r="L36" s="36">
        <v>37</v>
      </c>
      <c r="M36" s="36">
        <v>61</v>
      </c>
      <c r="N36" s="42">
        <f>M36/H36</f>
        <v>4.0666666666666664</v>
      </c>
      <c r="O36" s="42">
        <f>J36/H36</f>
        <v>8.6</v>
      </c>
      <c r="P36" s="42">
        <f>(I36/8.5)/H36</f>
        <v>6.3764705882352937</v>
      </c>
      <c r="Q36" s="43">
        <f>I36/((H36*0.95)*6)</f>
        <v>9.5087719298245617</v>
      </c>
    </row>
    <row r="37" spans="1:17" ht="93" thickBot="1">
      <c r="A37" s="100" t="s">
        <v>70</v>
      </c>
      <c r="B37" s="101"/>
      <c r="C37" s="102">
        <v>6.5</v>
      </c>
      <c r="D37" s="102">
        <v>1</v>
      </c>
      <c r="E37" s="102">
        <f>1</f>
        <v>1</v>
      </c>
      <c r="F37" s="103">
        <v>60</v>
      </c>
      <c r="G37" s="104">
        <f>(F37/6)</f>
        <v>10</v>
      </c>
      <c r="H37" s="105">
        <f>SUM(C37:E37)+G37</f>
        <v>18.5</v>
      </c>
      <c r="I37" s="106">
        <v>780.75</v>
      </c>
      <c r="J37" s="102">
        <f>SUM(K37:M37)</f>
        <v>101</v>
      </c>
      <c r="K37" s="102">
        <v>26</v>
      </c>
      <c r="L37" s="102">
        <v>28</v>
      </c>
      <c r="M37" s="102">
        <v>47</v>
      </c>
      <c r="N37" s="108">
        <f>M37/H37</f>
        <v>2.5405405405405403</v>
      </c>
      <c r="O37" s="108">
        <f>J37/H37</f>
        <v>5.4594594594594597</v>
      </c>
      <c r="P37" s="108">
        <f>(I37/8.5)/H37</f>
        <v>4.9650238473767887</v>
      </c>
      <c r="Q37" s="109">
        <f>I37/((H37*0.95)*6)</f>
        <v>7.4039829302987208</v>
      </c>
    </row>
    <row r="38" spans="1:17" ht="16" thickBot="1">
      <c r="A38" s="110"/>
      <c r="B38" s="28"/>
      <c r="C38" s="29"/>
      <c r="D38" s="29"/>
      <c r="E38" s="29"/>
      <c r="F38" s="29"/>
      <c r="G38" s="59"/>
      <c r="H38" s="60"/>
      <c r="I38" s="111"/>
      <c r="J38" s="62"/>
      <c r="K38" s="62"/>
      <c r="L38" s="62"/>
      <c r="M38" s="62"/>
      <c r="N38" s="63"/>
      <c r="O38" s="63"/>
      <c r="P38" s="63"/>
      <c r="Q38" s="64"/>
    </row>
    <row r="39" spans="1:17" ht="16" thickBot="1">
      <c r="A39" s="112" t="s">
        <v>71</v>
      </c>
      <c r="B39" s="113"/>
      <c r="C39" s="114">
        <f>SUM(C34:C37)</f>
        <v>29.5</v>
      </c>
      <c r="D39" s="114"/>
      <c r="E39" s="114">
        <f>SUM(E34:E37)</f>
        <v>2</v>
      </c>
      <c r="F39" s="114"/>
      <c r="G39" s="115">
        <f>SUM(G34:G37)</f>
        <v>32</v>
      </c>
      <c r="H39" s="116">
        <f>SUM(C39:G39)</f>
        <v>63.5</v>
      </c>
      <c r="I39" s="117">
        <f>SUM(I34:I37)</f>
        <v>3252.5</v>
      </c>
      <c r="J39" s="118">
        <f>SUM(J34:J37)</f>
        <v>413</v>
      </c>
      <c r="K39" s="118">
        <f>SUM(K34:K37)</f>
        <v>112</v>
      </c>
      <c r="L39" s="118">
        <f>SUM(L34:L37)</f>
        <v>114</v>
      </c>
      <c r="M39" s="118">
        <f>SUM(M34:M37)</f>
        <v>189</v>
      </c>
      <c r="N39" s="119">
        <f>M39/H39</f>
        <v>2.9763779527559056</v>
      </c>
      <c r="O39" s="119">
        <f>J39/H39</f>
        <v>6.5039370078740157</v>
      </c>
      <c r="P39" s="119">
        <f>(I39/8.5)/H39</f>
        <v>6.0259379342288097</v>
      </c>
      <c r="Q39" s="120">
        <f>I39/((H39*0.95)*6)</f>
        <v>8.9860477966569974</v>
      </c>
    </row>
    <row r="40" spans="1:17" ht="16" thickBot="1">
      <c r="A40" s="2"/>
      <c r="B40" s="2"/>
      <c r="C40" s="4"/>
      <c r="D40" s="4"/>
      <c r="E40" s="4"/>
      <c r="F40" s="4"/>
      <c r="G40" s="78"/>
      <c r="H40" s="4"/>
      <c r="I40" s="78"/>
      <c r="J40" s="79"/>
      <c r="K40" s="79"/>
      <c r="L40" s="79"/>
      <c r="M40" s="79"/>
      <c r="N40" s="121"/>
      <c r="O40" s="122"/>
      <c r="P40" s="121"/>
      <c r="Q40" s="121"/>
    </row>
    <row r="41" spans="1:17" ht="16" thickBot="1">
      <c r="A41" s="112" t="s">
        <v>72</v>
      </c>
      <c r="B41" s="113"/>
      <c r="C41" s="123">
        <f>C31+C39</f>
        <v>132.5</v>
      </c>
      <c r="D41" s="123">
        <f>D31+D39</f>
        <v>17.670000000000002</v>
      </c>
      <c r="E41" s="123">
        <f>E31+E39</f>
        <v>4</v>
      </c>
      <c r="F41" s="123"/>
      <c r="G41" s="124">
        <f t="shared" ref="G41:M41" si="6">G31+G39</f>
        <v>46.166666666666671</v>
      </c>
      <c r="H41" s="124">
        <f t="shared" si="6"/>
        <v>200.33666666666667</v>
      </c>
      <c r="I41" s="124">
        <f t="shared" si="6"/>
        <v>16221</v>
      </c>
      <c r="J41" s="125">
        <f t="shared" si="6"/>
        <v>2034</v>
      </c>
      <c r="K41" s="125">
        <f t="shared" si="6"/>
        <v>499</v>
      </c>
      <c r="L41" s="125">
        <f t="shared" si="6"/>
        <v>495</v>
      </c>
      <c r="M41" s="125">
        <f t="shared" si="6"/>
        <v>1042</v>
      </c>
      <c r="N41" s="119">
        <f>M41/H41</f>
        <v>5.2012445716377433</v>
      </c>
      <c r="O41" s="119">
        <f>J41/H41</f>
        <v>10.152909269396515</v>
      </c>
      <c r="P41" s="119">
        <f>(I41/8.5)/H41</f>
        <v>9.5257297275077146</v>
      </c>
      <c r="Q41" s="120">
        <f>I41/((H41*0.95)*6)</f>
        <v>14.205035558564138</v>
      </c>
    </row>
    <row r="42" spans="1:17">
      <c r="A42" s="2"/>
      <c r="B42" s="2"/>
      <c r="C42" s="4"/>
      <c r="D42" s="4"/>
      <c r="E42" s="4"/>
      <c r="F42" s="4"/>
      <c r="G42" s="4"/>
      <c r="H42" s="4"/>
      <c r="I42" s="4"/>
      <c r="J42" s="4"/>
      <c r="K42" s="4"/>
      <c r="L42" s="4"/>
      <c r="M42" s="4"/>
      <c r="N42" s="4"/>
      <c r="O42" s="4"/>
      <c r="P42" s="4"/>
      <c r="Q42" s="4"/>
    </row>
    <row r="43" spans="1:17">
      <c r="A43" s="126" t="s">
        <v>73</v>
      </c>
      <c r="B43" s="127"/>
      <c r="C43" s="128"/>
      <c r="D43" s="128"/>
      <c r="E43" s="128"/>
      <c r="F43" s="128"/>
      <c r="G43" s="128"/>
      <c r="H43" s="128"/>
      <c r="I43" s="128"/>
      <c r="J43" s="128"/>
      <c r="K43" s="128"/>
      <c r="L43" s="128"/>
      <c r="M43" s="128"/>
      <c r="N43" s="128"/>
      <c r="O43" s="128"/>
      <c r="P43" s="128"/>
      <c r="Q43" s="129"/>
    </row>
    <row r="44" spans="1:17">
      <c r="A44" s="259" t="s">
        <v>74</v>
      </c>
      <c r="B44" s="260"/>
      <c r="C44" s="260"/>
      <c r="D44" s="260"/>
      <c r="E44" s="260"/>
      <c r="F44" s="260"/>
      <c r="G44" s="260"/>
      <c r="H44" s="260"/>
      <c r="I44" s="260"/>
      <c r="J44" s="260"/>
      <c r="K44" s="260"/>
      <c r="L44" s="260"/>
      <c r="M44" s="260"/>
      <c r="N44" s="260"/>
      <c r="O44" s="260"/>
      <c r="P44" s="260"/>
      <c r="Q44" s="261"/>
    </row>
    <row r="45" spans="1:17">
      <c r="A45" s="133" t="s">
        <v>88</v>
      </c>
      <c r="B45" s="152"/>
      <c r="C45" s="152"/>
      <c r="D45" s="152"/>
      <c r="E45" s="152"/>
      <c r="F45" s="152"/>
      <c r="G45" s="152"/>
      <c r="H45" s="152"/>
      <c r="I45" s="152"/>
      <c r="J45" s="152"/>
      <c r="K45" s="152"/>
      <c r="L45" s="152"/>
      <c r="M45" s="152"/>
      <c r="N45" s="152"/>
      <c r="O45" s="152"/>
      <c r="P45" s="152"/>
      <c r="Q45" s="153"/>
    </row>
    <row r="46" spans="1:17">
      <c r="A46" s="130" t="s">
        <v>75</v>
      </c>
      <c r="B46" s="131"/>
      <c r="C46" s="131"/>
      <c r="D46" s="131"/>
      <c r="E46" s="131"/>
      <c r="F46" s="131"/>
      <c r="G46" s="131"/>
      <c r="H46" s="131"/>
      <c r="I46" s="131"/>
      <c r="J46" s="131"/>
      <c r="K46" s="131"/>
      <c r="L46" s="131"/>
      <c r="M46" s="131"/>
      <c r="N46" s="131"/>
      <c r="O46" s="131"/>
      <c r="P46" s="131"/>
      <c r="Q46" s="132"/>
    </row>
    <row r="47" spans="1:17">
      <c r="A47" s="259" t="s">
        <v>97</v>
      </c>
      <c r="B47" s="260"/>
      <c r="C47" s="260"/>
      <c r="D47" s="260"/>
      <c r="E47" s="260"/>
      <c r="F47" s="260"/>
      <c r="G47" s="260"/>
      <c r="H47" s="260"/>
      <c r="I47" s="260"/>
      <c r="J47" s="260"/>
      <c r="K47" s="260"/>
      <c r="L47" s="260"/>
      <c r="M47" s="260"/>
      <c r="N47" s="260"/>
      <c r="O47" s="260"/>
      <c r="P47" s="260"/>
      <c r="Q47" s="261"/>
    </row>
    <row r="48" spans="1:17">
      <c r="A48" s="133" t="s">
        <v>77</v>
      </c>
      <c r="B48" s="134"/>
      <c r="C48" s="134"/>
      <c r="D48" s="134"/>
      <c r="E48" s="134"/>
      <c r="F48" s="134"/>
      <c r="G48" s="134"/>
      <c r="H48" s="134"/>
      <c r="I48" s="62"/>
      <c r="J48" s="62"/>
      <c r="K48" s="62"/>
      <c r="L48" s="62"/>
      <c r="M48" s="134"/>
      <c r="N48" s="134"/>
      <c r="O48" s="134"/>
      <c r="P48" s="62"/>
      <c r="Q48" s="135"/>
    </row>
    <row r="49" spans="1:17">
      <c r="A49" s="259" t="s">
        <v>98</v>
      </c>
      <c r="B49" s="260"/>
      <c r="C49" s="260"/>
      <c r="D49" s="260"/>
      <c r="E49" s="260"/>
      <c r="F49" s="260"/>
      <c r="G49" s="260"/>
      <c r="H49" s="260"/>
      <c r="I49" s="260"/>
      <c r="J49" s="260"/>
      <c r="K49" s="260"/>
      <c r="L49" s="260"/>
      <c r="M49" s="260"/>
      <c r="N49" s="260"/>
      <c r="O49" s="260"/>
      <c r="P49" s="260"/>
      <c r="Q49" s="261"/>
    </row>
    <row r="50" spans="1:17">
      <c r="A50" s="259"/>
      <c r="B50" s="260"/>
      <c r="C50" s="260"/>
      <c r="D50" s="260"/>
      <c r="E50" s="260"/>
      <c r="F50" s="260"/>
      <c r="G50" s="260"/>
      <c r="H50" s="260"/>
      <c r="I50" s="260"/>
      <c r="J50" s="260"/>
      <c r="K50" s="260"/>
      <c r="L50" s="260"/>
      <c r="M50" s="260"/>
      <c r="N50" s="260"/>
      <c r="O50" s="260"/>
      <c r="P50" s="260"/>
      <c r="Q50" s="261"/>
    </row>
    <row r="51" spans="1:17">
      <c r="A51" s="136"/>
      <c r="B51" s="137"/>
      <c r="C51" s="137"/>
      <c r="D51" s="137"/>
      <c r="E51" s="137"/>
      <c r="F51" s="137"/>
      <c r="G51" s="137"/>
      <c r="H51" s="137"/>
      <c r="I51" s="138"/>
      <c r="J51" s="138"/>
      <c r="K51" s="138"/>
      <c r="L51" s="138"/>
      <c r="M51" s="137"/>
      <c r="N51" s="137"/>
      <c r="O51" s="137"/>
      <c r="P51" s="138"/>
      <c r="Q51" s="139"/>
    </row>
  </sheetData>
  <mergeCells count="6">
    <mergeCell ref="A50:Q50"/>
    <mergeCell ref="J2:Q2"/>
    <mergeCell ref="J3:Q3"/>
    <mergeCell ref="A44:Q44"/>
    <mergeCell ref="A47:Q47"/>
    <mergeCell ref="A49:Q49"/>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Company>IWU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Boyd</dc:creator>
  <cp:lastModifiedBy>Frank Boyd</cp:lastModifiedBy>
  <cp:lastPrinted>2015-11-16T20:38:50Z</cp:lastPrinted>
  <dcterms:created xsi:type="dcterms:W3CDTF">2014-12-07T16:18:55Z</dcterms:created>
  <dcterms:modified xsi:type="dcterms:W3CDTF">2017-02-22T21:58:21Z</dcterms:modified>
</cp:coreProperties>
</file>