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0" windowWidth="21280" windowHeight="11520" activeTab="0"/>
  </bookViews>
  <sheets>
    <sheet name="2006-07 Working" sheetId="1" r:id="rId1"/>
    <sheet name="2005-06 Final" sheetId="2" r:id="rId2"/>
    <sheet name="2004-05 Final" sheetId="3" r:id="rId3"/>
    <sheet name="2003-04 Final" sheetId="4" r:id="rId4"/>
  </sheets>
  <definedNames>
    <definedName name="_xlnm.Print_Area" localSheetId="3">'2003-04 Final'!$A$1:$R$49</definedName>
    <definedName name="_xlnm.Print_Area" localSheetId="2">'2004-05 Final'!$A$1:$R$51</definedName>
    <definedName name="_xlnm.Print_Area" localSheetId="1">'2005-06 Final'!$A$1:$Q$51</definedName>
    <definedName name="_xlnm.Print_Area" localSheetId="0">'2006-07 Working'!$A$1:$Q$54</definedName>
  </definedNames>
  <calcPr fullCalcOnLoad="1"/>
</workbook>
</file>

<file path=xl/sharedStrings.xml><?xml version="1.0" encoding="utf-8"?>
<sst xmlns="http://schemas.openxmlformats.org/spreadsheetml/2006/main" count="453" uniqueCount="132">
  <si>
    <t>• Adjunct FTEs do not include administrators teaching courses, nor do Units Generated Include enrollment in courses taught by those administrators; Gateway and interdisciplinary units taught by adjuncts are not credited to departments, nor are Gateway or interdisciplinary adjunct faculty resources charged to departments</t>
  </si>
  <si>
    <t>(1) Units generated reports for 2006-07 show a total for the year of:</t>
  </si>
  <si>
    <t>Less PE</t>
  </si>
  <si>
    <t>Less adjunct Gateway and interdisciplinary not in a department</t>
  </si>
  <si>
    <t>• Special note on History department's tenure lines: In 2002-03, Provost McNew approved the hiring of Matt Pursell to succeed Professor Bushnell, pending the latter's retirement.  As of the date of this report, Bushnell remained as a tenure-line faculty member although the number of approved tenure lines in the department had not been increased.  Thus, the number of occupied tenure lines for the department is shown as exceeding the total approved.</t>
  </si>
  <si>
    <t>• Currently approved (as of Fall 2007)  tenure lines given in parentheses after the department.</t>
  </si>
  <si>
    <t>As of 12/18/2007:</t>
  </si>
  <si>
    <t>• 'Split line' tenure track faculty with supplemental teaching are shown in 'full time visiting column:' Jahiel (0.5); W. Chapman, (0.33); Sainsbury (0.33); A Schultz (0.5); R. Schultz (0.5)</t>
  </si>
  <si>
    <t>• 'Split line' tenure track faculty with supplemental teaching are shown in 'full time visiting column:' Jahiel (0.5); W. Chapman, (0.25); Sainsbury (0.4); A Schultz (0.5); R. Schultz (0.5)</t>
  </si>
  <si>
    <t>(1) Units generated reports for 2005-06 show a total for the year of:</t>
  </si>
  <si>
    <t>F/S/MT</t>
  </si>
  <si>
    <t>F all 05</t>
  </si>
  <si>
    <t>• Leaves (sabbatical, junior and without pay) shown as adjustment in "filled tenure track" number: Anderson-Freed (0.5), Bechtel (1.0), Bollivar (1.0), Bray (1.0), Campbell (0.5), Cook (0.5), Chapman, W (0.5), Chapman, M (0.5), Detweiler (1.0), Ernst (1.0), Ferradans (0.5), Furo (1.0), He (0.5), Matthews (1.0), Mendez-Carbajo (0.5), Moham (0.5), Mohan (1.0), Moralee (0.5), Myscofski (0.5), Ossella-Durbal (0.5), Pelusi (0.5), Prandi (0.5), Prendergast (1.0), Query (0.5), Sainsbury (0.5), Stout (1.0), Theune (0.5), Vayo (0.5).</t>
  </si>
  <si>
    <t>Academic Ratios Report for 2006-2007</t>
  </si>
  <si>
    <t>F all 06</t>
  </si>
  <si>
    <t>• Boyd counted on full leave from Political Science department for administrative duties</t>
  </si>
  <si>
    <t>• Walter assumed B. Criley's full-time line as of Fall 2006; B. Criley's part-time teaching in 06-07 is included in adjunct units for Biology</t>
  </si>
  <si>
    <t>• Leaves (sabbatical, junior and without pay) shown as adjustment in "filled tenure track" number: Brandon (0.5), Gillett (0.5), Gordon (0.5), Griffiths (1.0), Harper (0.5), Hatcher (1.0), Hoffman (0.5), Jaggi (0.5), Jahiel (0.5), Jesek-Hale (0.5), Loitz (1.0), McDonald (0.5), Montgomery (1.0), Morris (1.0), O'Gorman (0.5), Schultz, A (0.5), Simeone (1.0), Sultan (0.5), Swanlund (0.5), Walker (0.5), Williams (0.5), Young (0.5)</t>
  </si>
  <si>
    <t>• Orlando was on leave without pay in 06-07, but Matthews returned to a full-time line in MCLL as well.  Department had not requested another replacement for Orlando as of the date of this report. Therefore, Orlando's leave was not deducted from MCLL total tenure lines occupied in 06-07; instead, she is assumed to be replaced by Matthews, for no net increase in authorized tenure lines.</t>
  </si>
  <si>
    <t>Theatre Arts (includes MUTH and MUTH Dance credits) (8)</t>
  </si>
  <si>
    <t xml:space="preserve">• Leaves shown as adjustment in "filled tenure track" number: Amoloza (0.5), Balser (1.0), Brown (1.0), DeConick (0.5), DeVore (0.5), Ernst (1.0), Floriani, (0.5), D. French (0.5), Fritzsche (0.5), Jaeckle (0.5), Leekley (0.5), Lindberg (0.5), Lutze (0.5), Parra (0.5), Shaw (0.5), Tiede (0.5), West (0.5). </t>
  </si>
  <si>
    <t>• Currently approved (as of 05-06)  tenure lines given in parentheses after the department.</t>
  </si>
  <si>
    <t>FDB</t>
  </si>
  <si>
    <t>FDB + adjunct pay spreadsheet</t>
  </si>
  <si>
    <t>Units generated reports + enrollment by course for each term</t>
  </si>
  <si>
    <t>Master student file for Fall term</t>
  </si>
  <si>
    <t>Data Source(s)</t>
  </si>
  <si>
    <t>• 'Split line' tenure track faculty with supplemental teaching are shown in 'full time visiting column:' Jahiel (0.5); W. Chapman, (0.33); Sainsbury (0.5); A Schultz (0.5); R. Schultz (0.5)</t>
  </si>
  <si>
    <t>• Special note on History Department's faculty resources: In 2002-03, Provost McNew authorized replacement of Paul Bushnell in advance of his retirement; Matt Pursell joined the faculty in 04-05, but Paul remained--thus, the number of persons shown on a tenure line in 04-05 exceeds the total authorized lines.</t>
  </si>
  <si>
    <t>• Griffiths counted as on full leave from Biology department for administrative duties.</t>
  </si>
  <si>
    <t>updated as of 2/3/2007</t>
  </si>
  <si>
    <t>Academic Ratios Report for 2005-2006</t>
  </si>
  <si>
    <t>• Currently approved (as of 06-07)  tenure lines given in parentheses after the department.</t>
  </si>
  <si>
    <t>Economics (6)</t>
  </si>
  <si>
    <t>English (11)</t>
  </si>
  <si>
    <t>Psychology (9)</t>
  </si>
  <si>
    <t>Religion (5)</t>
  </si>
  <si>
    <t>Physics (5)</t>
  </si>
  <si>
    <t>Philosophy (5)</t>
  </si>
  <si>
    <t>Educational Studies (5)</t>
  </si>
  <si>
    <t>• Special note on History Department's faculty resources: In 2002-03, Provost McNew authorized the department's request to replace Paul Bushnell in advance of his retirement; Matt Pursell joined the faculty in 04-05, but Paul has remained--thus, the number of persons shown on a tenure line in 05-06 exceeds the total authorized lines.</t>
  </si>
  <si>
    <t>• Student classifications defined by CUs earned, using Catalog definitions</t>
  </si>
  <si>
    <t>Notes to me:</t>
  </si>
  <si>
    <t>(1) Units generated reports for 2003-04 show a total for the year of:</t>
  </si>
  <si>
    <t>Fall</t>
  </si>
  <si>
    <t>Spring</t>
  </si>
  <si>
    <t>May</t>
  </si>
  <si>
    <t>Less courses taught by administrators</t>
  </si>
  <si>
    <t>Less interdisciplinary not in a department</t>
  </si>
  <si>
    <t>Less PE (except Dance)</t>
  </si>
  <si>
    <t xml:space="preserve">• leaves shown as adjustment in "filled tenure track" number: Bechtel (0.5), Bondurant-Kohler (0.83 without pay), Bowman (0.5), Clapp (1.0), Gearhart (0.5), Gillett (1.0), Roesner (1.0), Scherck (0.5), Schultz, R. (0.5), Walker (0.5), Walsh (0.5), Wells (1.0), Willis (0.5). </t>
  </si>
  <si>
    <t>updated as of 3/17/2005</t>
  </si>
  <si>
    <t>(1) Units generated reports for 2004-05 show a total for the year of:</t>
  </si>
  <si>
    <t>Academic Ratios Report for 2004-2005</t>
  </si>
  <si>
    <t>F all 04</t>
  </si>
  <si>
    <t>• Student classifications defined by CUs earned, using Catalog definitions; undecided and interdisciplinary majors not counted in any department.</t>
  </si>
  <si>
    <t>Mathematics/Computer Sci (11)</t>
  </si>
  <si>
    <t>• Special note on Pscyhology Department's faculty resources: John and Michelle Ernst agreed to split a tenure line, effective 04-05.  John was on leave for the full year (his entire portion of the line), so 0.5 is subtracted from the occupied tenure line total.  Michelle resigned at the end of Fall 2004, so .25 is deducted to account for the absence of her half of the half-line in Spring 2005.  Doran French was also on leave that year, so another 0.5 is also subtracted in the occupied tenure line column.</t>
  </si>
  <si>
    <t>updated as of 1/30/2006</t>
  </si>
  <si>
    <t>• Adjunct FTEs do not include administrators teaching courses, nor do Units Generated Include enrollment in courses taught by those administrators.</t>
  </si>
  <si>
    <t>• Music and Theatre Arts adjunct units include course units taught by adjuncts, as well as conversion of hourly instruction and 50% of accompanists' time into course-unit equivalents.</t>
  </si>
  <si>
    <t>Academic Ratios Report for 2003-2004</t>
  </si>
  <si>
    <t>(Columns include double majors)</t>
  </si>
  <si>
    <t>Filled</t>
  </si>
  <si>
    <t xml:space="preserve">Total </t>
  </si>
  <si>
    <t>F/Sp/MT</t>
  </si>
  <si>
    <t>F all 03</t>
  </si>
  <si>
    <t>Tenure</t>
  </si>
  <si>
    <t>Full-time</t>
  </si>
  <si>
    <t>Instruct</t>
  </si>
  <si>
    <t>Adjunct</t>
  </si>
  <si>
    <t>Instructional</t>
  </si>
  <si>
    <t>Units</t>
  </si>
  <si>
    <t>Majors</t>
  </si>
  <si>
    <t>Jr/Sr Maj</t>
  </si>
  <si>
    <t>Total Maj</t>
  </si>
  <si>
    <t>Stu FTE to</t>
  </si>
  <si>
    <t>Class</t>
  </si>
  <si>
    <t>Academic department</t>
  </si>
  <si>
    <t>Div</t>
  </si>
  <si>
    <t>Track</t>
  </si>
  <si>
    <t>visiting</t>
  </si>
  <si>
    <t>staff</t>
  </si>
  <si>
    <t>FTE</t>
  </si>
  <si>
    <t xml:space="preserve"> FTE</t>
  </si>
  <si>
    <t>Generated</t>
  </si>
  <si>
    <t>Total</t>
  </si>
  <si>
    <t>Frosh</t>
  </si>
  <si>
    <t>Soph</t>
  </si>
  <si>
    <t>Jr-Sr</t>
  </si>
  <si>
    <t>per Fac FTE</t>
  </si>
  <si>
    <t>Fac FTE</t>
  </si>
  <si>
    <t>size index</t>
  </si>
  <si>
    <t>COLLEGE OF LIBERAL ARTS</t>
  </si>
  <si>
    <t xml:space="preserve">data - ok </t>
  </si>
  <si>
    <t>data - ok</t>
  </si>
  <si>
    <t xml:space="preserve">data  - ok </t>
  </si>
  <si>
    <t>calc</t>
  </si>
  <si>
    <t>Business (13)</t>
  </si>
  <si>
    <t>B</t>
  </si>
  <si>
    <t>Economics (5)</t>
  </si>
  <si>
    <t>English (10)</t>
  </si>
  <si>
    <t>H</t>
  </si>
  <si>
    <t>Hispanic Studies (6)</t>
  </si>
  <si>
    <t xml:space="preserve">MCLL (8) </t>
  </si>
  <si>
    <t>Philosophy (4)</t>
  </si>
  <si>
    <t>Religion (4)</t>
  </si>
  <si>
    <t>Biology (9)</t>
  </si>
  <si>
    <t>N</t>
  </si>
  <si>
    <t>Chemistry (6)</t>
  </si>
  <si>
    <t>Mathematics &amp; Computer Sci (11)</t>
  </si>
  <si>
    <t>Physics (4)</t>
  </si>
  <si>
    <t>Psychology (7)</t>
  </si>
  <si>
    <t>Educational Studies (6)</t>
  </si>
  <si>
    <t>S</t>
  </si>
  <si>
    <t>History (6.5)</t>
  </si>
  <si>
    <t>Political Science (6.5)</t>
  </si>
  <si>
    <t>Sociology/Anthropology (7)</t>
  </si>
  <si>
    <t>LIBERAL ARTS TOTALS</t>
  </si>
  <si>
    <t>PROFESSIONAL SCHOOLS</t>
  </si>
  <si>
    <t>Art (5)</t>
  </si>
  <si>
    <t>Music (18)</t>
  </si>
  <si>
    <t>Nursing (8)</t>
  </si>
  <si>
    <t>Theatre Arts (includes MUTH and Dance) (8)</t>
  </si>
  <si>
    <t>PROFESSIONAL SCHOOL TOTALS</t>
  </si>
  <si>
    <t>ALL-UNIVERSITY TOTALS</t>
  </si>
  <si>
    <t xml:space="preserve">Notes — </t>
  </si>
  <si>
    <t>• currently approved (as of 04-05)  tenure lines given in parentheses after the department</t>
  </si>
  <si>
    <t>• 'split line' tenure track faculty with supplemental teaching are shown in 'full time visiting column:' Lutze (.5); Jahiel (.5); Chapman, W. (.33); Sainsbury (.33); A Schultz (.5); R. Schultz (.5)</t>
  </si>
  <si>
    <t>• music and theatre arts adjunct units include course units taught by adjuncts, as well as conversion of hourly instruction and 50% of accompanists' time into course-unit equivalents.</t>
  </si>
  <si>
    <t>• Adjunct FTEs do not include full-time administrators teaching courses, nor do Units Generated Include enrollment in courses taught by those administrators</t>
  </si>
  <si>
    <t>• Griffiths shown on full administrative leave from biology department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</si>
</sst>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_);\(&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
    <numFmt numFmtId="170" formatCode="_(* #,##0.0_);_(* \(#,##0.0\);_(* &quot;-&quot;??_);_(@_)"/>
    <numFmt numFmtId="171" formatCode="_(* #,##0_);_(* \(#,##0\);_(* &quot;-&quot;??_);_(@_)"/>
    <numFmt numFmtId="172" formatCode="#,##0.0"/>
    <numFmt numFmtId="173" formatCode="0.000"/>
    <numFmt numFmtId="174" formatCode="0.0000"/>
  </numFmts>
  <fonts count="29">
    <font>
      <sz val="9"/>
      <name val="Geneva"/>
      <family val="0"/>
    </font>
    <font>
      <b/>
      <sz val="9"/>
      <name val="Geneva"/>
      <family val="0"/>
    </font>
    <font>
      <i/>
      <sz val="9"/>
      <name val="Geneva"/>
      <family val="0"/>
    </font>
    <font>
      <b/>
      <i/>
      <sz val="9"/>
      <name val="Geneva"/>
      <family val="0"/>
    </font>
    <font>
      <u val="single"/>
      <sz val="9"/>
      <color indexed="36"/>
      <name val="Geneva"/>
      <family val="0"/>
    </font>
    <font>
      <u val="single"/>
      <sz val="9"/>
      <color indexed="12"/>
      <name val="Geneva"/>
      <family val="0"/>
    </font>
    <font>
      <i/>
      <sz val="10"/>
      <name val="Geneva"/>
      <family val="0"/>
    </font>
    <font>
      <b/>
      <sz val="10"/>
      <name val="Geneva"/>
      <family val="0"/>
    </font>
    <font>
      <sz val="18"/>
      <name val="Geneva"/>
      <family val="0"/>
    </font>
    <font>
      <sz val="10"/>
      <name val="Geneva"/>
      <family val="0"/>
    </font>
    <font>
      <b/>
      <i/>
      <sz val="10"/>
      <name val="Geneva"/>
      <family val="0"/>
    </font>
    <font>
      <sz val="8"/>
      <name val="Geneva"/>
      <family val="0"/>
    </font>
    <font>
      <sz val="11"/>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0"/>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medium"/>
      <bottom style="thin"/>
    </border>
    <border>
      <left style="medium"/>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219">
    <xf numFmtId="0" fontId="0" fillId="0" borderId="0" xfId="0" applyAlignment="1">
      <alignment/>
    </xf>
    <xf numFmtId="14" fontId="6" fillId="0" borderId="0" xfId="0" applyNumberFormat="1" applyFont="1" applyFill="1" applyAlignment="1">
      <alignment horizontal="left"/>
    </xf>
    <xf numFmtId="169" fontId="7" fillId="0" borderId="0" xfId="0" applyNumberFormat="1" applyFont="1" applyFill="1" applyAlignment="1">
      <alignment/>
    </xf>
    <xf numFmtId="0" fontId="0" fillId="0" borderId="0" xfId="0" applyFont="1" applyFill="1" applyAlignment="1">
      <alignment/>
    </xf>
    <xf numFmtId="0" fontId="7" fillId="0" borderId="0" xfId="0" applyFont="1" applyFill="1" applyAlignment="1">
      <alignment/>
    </xf>
    <xf numFmtId="0" fontId="0" fillId="0" borderId="0" xfId="0" applyFont="1" applyFill="1" applyAlignment="1">
      <alignment horizontal="center" wrapText="1"/>
    </xf>
    <xf numFmtId="0" fontId="8" fillId="0" borderId="0" xfId="0" applyFont="1" applyFill="1" applyAlignment="1">
      <alignment/>
    </xf>
    <xf numFmtId="0" fontId="0" fillId="0" borderId="0" xfId="0" applyFont="1" applyFill="1" applyAlignment="1">
      <alignment horizontal="center"/>
    </xf>
    <xf numFmtId="0" fontId="0" fillId="0" borderId="10" xfId="0" applyFont="1" applyFill="1" applyBorder="1" applyAlignment="1">
      <alignment/>
    </xf>
    <xf numFmtId="0" fontId="7" fillId="0" borderId="11"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horizontal="center"/>
    </xf>
    <xf numFmtId="0" fontId="0" fillId="0" borderId="10" xfId="0" applyFont="1" applyFill="1"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xf>
    <xf numFmtId="0" fontId="6" fillId="0" borderId="16" xfId="0" applyFont="1" applyFill="1" applyBorder="1" applyAlignment="1">
      <alignment horizontal="center"/>
    </xf>
    <xf numFmtId="0" fontId="0" fillId="0" borderId="16" xfId="0" applyFont="1" applyFill="1" applyBorder="1" applyAlignment="1">
      <alignment/>
    </xf>
    <xf numFmtId="0" fontId="0" fillId="0" borderId="17" xfId="0" applyFont="1" applyFill="1" applyBorder="1" applyAlignment="1">
      <alignment/>
    </xf>
    <xf numFmtId="0" fontId="3" fillId="0" borderId="18" xfId="0" applyFont="1" applyFill="1" applyBorder="1" applyAlignment="1">
      <alignment horizontal="center"/>
    </xf>
    <xf numFmtId="0" fontId="3" fillId="0" borderId="19" xfId="0" applyFont="1" applyFill="1" applyBorder="1" applyAlignment="1">
      <alignment horizontal="center"/>
    </xf>
    <xf numFmtId="0" fontId="3" fillId="0" borderId="15" xfId="0" applyFont="1" applyFill="1" applyBorder="1" applyAlignment="1">
      <alignment/>
    </xf>
    <xf numFmtId="0" fontId="3" fillId="0" borderId="20" xfId="0" applyFont="1" applyFill="1" applyBorder="1" applyAlignment="1">
      <alignment/>
    </xf>
    <xf numFmtId="169" fontId="6" fillId="0" borderId="0" xfId="0" applyNumberFormat="1" applyFont="1" applyFill="1" applyAlignment="1">
      <alignment/>
    </xf>
    <xf numFmtId="0" fontId="6" fillId="0" borderId="0" xfId="0" applyFont="1" applyFill="1" applyAlignment="1">
      <alignment horizontal="center"/>
    </xf>
    <xf numFmtId="0" fontId="6" fillId="0" borderId="15" xfId="0" applyFont="1" applyFill="1" applyBorder="1" applyAlignment="1">
      <alignment/>
    </xf>
    <xf numFmtId="169" fontId="6" fillId="0" borderId="16" xfId="0" applyNumberFormat="1" applyFont="1" applyFill="1" applyBorder="1" applyAlignment="1">
      <alignment horizontal="center"/>
    </xf>
    <xf numFmtId="169" fontId="6" fillId="0" borderId="17" xfId="0" applyNumberFormat="1" applyFont="1" applyFill="1" applyBorder="1" applyAlignment="1">
      <alignment horizontal="center"/>
    </xf>
    <xf numFmtId="0" fontId="6" fillId="0" borderId="18" xfId="0" applyFont="1" applyFill="1" applyBorder="1" applyAlignment="1">
      <alignment horizontal="center"/>
    </xf>
    <xf numFmtId="0" fontId="6" fillId="0" borderId="15" xfId="0" applyFont="1" applyFill="1" applyBorder="1" applyAlignment="1">
      <alignment horizontal="center"/>
    </xf>
    <xf numFmtId="0" fontId="6" fillId="0" borderId="20" xfId="0" applyFont="1" applyFill="1" applyBorder="1" applyAlignment="1">
      <alignment horizontal="center"/>
    </xf>
    <xf numFmtId="0" fontId="6" fillId="0" borderId="0" xfId="0" applyFont="1" applyFill="1" applyAlignment="1">
      <alignment/>
    </xf>
    <xf numFmtId="169" fontId="6" fillId="0" borderId="0" xfId="0" applyNumberFormat="1" applyFont="1" applyFill="1" applyBorder="1" applyAlignment="1">
      <alignment/>
    </xf>
    <xf numFmtId="0" fontId="6" fillId="0" borderId="0" xfId="0" applyFont="1" applyFill="1" applyBorder="1" applyAlignment="1">
      <alignment horizontal="center"/>
    </xf>
    <xf numFmtId="0" fontId="6" fillId="0" borderId="21" xfId="0" applyFont="1" applyFill="1" applyBorder="1" applyAlignment="1">
      <alignment horizontal="left"/>
    </xf>
    <xf numFmtId="169" fontId="6" fillId="0" borderId="22" xfId="0" applyNumberFormat="1" applyFont="1" applyFill="1" applyBorder="1" applyAlignment="1">
      <alignment horizontal="center"/>
    </xf>
    <xf numFmtId="169" fontId="6" fillId="0" borderId="23" xfId="0" applyNumberFormat="1" applyFont="1" applyFill="1" applyBorder="1" applyAlignment="1">
      <alignment horizontal="center"/>
    </xf>
    <xf numFmtId="0" fontId="6" fillId="0" borderId="22" xfId="0" applyFont="1" applyFill="1" applyBorder="1" applyAlignment="1">
      <alignment horizontal="center"/>
    </xf>
    <xf numFmtId="0" fontId="6" fillId="0" borderId="24" xfId="0" applyFont="1" applyFill="1" applyBorder="1" applyAlignment="1">
      <alignment horizontal="center"/>
    </xf>
    <xf numFmtId="0" fontId="6" fillId="0" borderId="21" xfId="0" applyFont="1" applyFill="1" applyBorder="1" applyAlignment="1">
      <alignment horizontal="center"/>
    </xf>
    <xf numFmtId="0" fontId="6" fillId="0" borderId="25" xfId="0" applyFont="1" applyFill="1" applyBorder="1" applyAlignment="1">
      <alignment horizontal="center"/>
    </xf>
    <xf numFmtId="169" fontId="0" fillId="0" borderId="26" xfId="0" applyNumberFormat="1" applyFont="1" applyFill="1" applyBorder="1" applyAlignment="1">
      <alignment/>
    </xf>
    <xf numFmtId="169" fontId="0" fillId="0" borderId="27"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28" xfId="0" applyFont="1" applyFill="1" applyBorder="1" applyAlignment="1">
      <alignment horizontal="center"/>
    </xf>
    <xf numFmtId="169" fontId="7" fillId="0" borderId="29" xfId="0" applyNumberFormat="1" applyFont="1" applyFill="1" applyBorder="1" applyAlignment="1">
      <alignment/>
    </xf>
    <xf numFmtId="169" fontId="0" fillId="0" borderId="0" xfId="0" applyNumberFormat="1" applyFont="1" applyFill="1" applyBorder="1" applyAlignment="1">
      <alignment/>
    </xf>
    <xf numFmtId="169" fontId="9" fillId="0" borderId="29" xfId="0" applyNumberFormat="1" applyFont="1" applyFill="1" applyBorder="1" applyAlignment="1">
      <alignment/>
    </xf>
    <xf numFmtId="4" fontId="0" fillId="0" borderId="0" xfId="0" applyNumberFormat="1" applyFont="1" applyFill="1" applyBorder="1" applyAlignment="1">
      <alignment/>
    </xf>
    <xf numFmtId="2" fontId="6"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43" fontId="6" fillId="0" borderId="0" xfId="42" applyNumberFormat="1" applyFont="1" applyFill="1" applyBorder="1" applyAlignment="1">
      <alignment horizontal="center"/>
    </xf>
    <xf numFmtId="169" fontId="0" fillId="0" borderId="0" xfId="0" applyNumberFormat="1" applyFont="1" applyFill="1" applyBorder="1" applyAlignment="1">
      <alignment horizontal="center"/>
    </xf>
    <xf numFmtId="169" fontId="0" fillId="0" borderId="28" xfId="0" applyNumberFormat="1" applyFont="1" applyFill="1" applyBorder="1" applyAlignment="1">
      <alignment horizontal="center"/>
    </xf>
    <xf numFmtId="169" fontId="0" fillId="0" borderId="29" xfId="0" applyNumberFormat="1" applyFont="1" applyFill="1" applyBorder="1" applyAlignment="1">
      <alignment/>
    </xf>
    <xf numFmtId="3" fontId="0" fillId="0" borderId="0" xfId="0" applyNumberFormat="1" applyFont="1" applyFill="1" applyBorder="1" applyAlignment="1">
      <alignment horizontal="center"/>
    </xf>
    <xf numFmtId="0" fontId="9" fillId="0" borderId="0" xfId="0" applyFont="1" applyFill="1" applyBorder="1" applyAlignment="1">
      <alignment horizontal="center"/>
    </xf>
    <xf numFmtId="169" fontId="7" fillId="0" borderId="30" xfId="0" applyNumberFormat="1" applyFont="1" applyFill="1" applyBorder="1" applyAlignment="1">
      <alignment/>
    </xf>
    <xf numFmtId="3" fontId="0" fillId="0" borderId="31" xfId="0" applyNumberFormat="1" applyFont="1" applyFill="1" applyBorder="1" applyAlignment="1">
      <alignment horizontal="center"/>
    </xf>
    <xf numFmtId="0" fontId="0" fillId="0" borderId="31" xfId="0" applyFont="1" applyFill="1" applyBorder="1" applyAlignment="1">
      <alignment/>
    </xf>
    <xf numFmtId="4" fontId="7" fillId="0" borderId="31" xfId="0" applyNumberFormat="1" applyFont="1" applyFill="1" applyBorder="1" applyAlignment="1">
      <alignment horizontal="center"/>
    </xf>
    <xf numFmtId="4" fontId="10" fillId="0" borderId="31" xfId="0" applyNumberFormat="1" applyFont="1" applyFill="1" applyBorder="1" applyAlignment="1">
      <alignment horizontal="center"/>
    </xf>
    <xf numFmtId="2" fontId="7" fillId="0" borderId="31" xfId="0" applyNumberFormat="1" applyFont="1" applyFill="1" applyBorder="1" applyAlignment="1">
      <alignment horizontal="center"/>
    </xf>
    <xf numFmtId="43" fontId="1" fillId="0" borderId="31" xfId="42" applyNumberFormat="1" applyFont="1" applyFill="1" applyBorder="1" applyAlignment="1">
      <alignment horizontal="center"/>
    </xf>
    <xf numFmtId="171" fontId="1" fillId="0" borderId="31" xfId="42" applyNumberFormat="1" applyFont="1" applyFill="1" applyBorder="1" applyAlignment="1">
      <alignment horizontal="center"/>
    </xf>
    <xf numFmtId="1" fontId="1" fillId="0" borderId="31" xfId="0" applyNumberFormat="1" applyFont="1" applyFill="1" applyBorder="1" applyAlignment="1">
      <alignment horizontal="center"/>
    </xf>
    <xf numFmtId="169" fontId="0" fillId="0" borderId="31" xfId="0" applyNumberFormat="1" applyFont="1" applyFill="1" applyBorder="1" applyAlignment="1">
      <alignment horizontal="center"/>
    </xf>
    <xf numFmtId="169" fontId="0" fillId="0" borderId="32" xfId="0" applyNumberFormat="1" applyFont="1" applyFill="1" applyBorder="1" applyAlignment="1">
      <alignment horizontal="center"/>
    </xf>
    <xf numFmtId="169" fontId="0" fillId="0" borderId="0" xfId="0" applyNumberFormat="1" applyFont="1" applyFill="1" applyAlignment="1">
      <alignment/>
    </xf>
    <xf numFmtId="3" fontId="0" fillId="0" borderId="0" xfId="0" applyNumberFormat="1" applyFont="1" applyFill="1" applyAlignment="1">
      <alignment horizontal="center"/>
    </xf>
    <xf numFmtId="2" fontId="6" fillId="0" borderId="0" xfId="0" applyNumberFormat="1" applyFont="1" applyFill="1" applyAlignment="1">
      <alignment horizontal="center"/>
    </xf>
    <xf numFmtId="2" fontId="0" fillId="0" borderId="0" xfId="0" applyNumberFormat="1" applyFont="1" applyFill="1" applyAlignment="1">
      <alignment horizontal="center"/>
    </xf>
    <xf numFmtId="0" fontId="9" fillId="0" borderId="0" xfId="0" applyFont="1" applyFill="1" applyAlignment="1">
      <alignment horizontal="center"/>
    </xf>
    <xf numFmtId="169" fontId="0" fillId="0" borderId="0" xfId="0" applyNumberFormat="1" applyFont="1" applyFill="1" applyAlignment="1">
      <alignment horizontal="center"/>
    </xf>
    <xf numFmtId="0" fontId="7" fillId="0" borderId="26" xfId="0" applyFont="1" applyFill="1" applyBorder="1" applyAlignment="1">
      <alignment/>
    </xf>
    <xf numFmtId="0" fontId="0" fillId="0" borderId="27" xfId="0" applyFont="1" applyFill="1" applyBorder="1" applyAlignment="1">
      <alignment/>
    </xf>
    <xf numFmtId="0" fontId="0" fillId="0" borderId="27" xfId="0" applyFont="1" applyFill="1" applyBorder="1" applyAlignment="1">
      <alignment horizontal="center"/>
    </xf>
    <xf numFmtId="0" fontId="6" fillId="0" borderId="27" xfId="0" applyFont="1" applyFill="1" applyBorder="1" applyAlignment="1">
      <alignment horizontal="center"/>
    </xf>
    <xf numFmtId="0" fontId="9" fillId="0" borderId="27" xfId="0" applyFont="1" applyFill="1" applyBorder="1" applyAlignment="1">
      <alignment horizontal="center"/>
    </xf>
    <xf numFmtId="169" fontId="0" fillId="0" borderId="27" xfId="0" applyNumberFormat="1" applyFont="1" applyFill="1" applyBorder="1" applyAlignment="1">
      <alignment horizontal="center"/>
    </xf>
    <xf numFmtId="169" fontId="0" fillId="0" borderId="33" xfId="0" applyNumberFormat="1" applyFont="1" applyFill="1" applyBorder="1" applyAlignment="1">
      <alignment horizontal="center"/>
    </xf>
    <xf numFmtId="0" fontId="0" fillId="0" borderId="29" xfId="0" applyFont="1" applyFill="1" applyBorder="1" applyAlignment="1">
      <alignment/>
    </xf>
    <xf numFmtId="0" fontId="9" fillId="0" borderId="29" xfId="0" applyFont="1" applyFill="1" applyBorder="1" applyAlignment="1">
      <alignment/>
    </xf>
    <xf numFmtId="2" fontId="6" fillId="0" borderId="0" xfId="0" applyNumberFormat="1" applyFont="1" applyFill="1" applyBorder="1" applyAlignment="1">
      <alignment horizontal="right"/>
    </xf>
    <xf numFmtId="43" fontId="6" fillId="0" borderId="0" xfId="42" applyFont="1" applyFill="1" applyBorder="1" applyAlignment="1">
      <alignment horizontal="right"/>
    </xf>
    <xf numFmtId="0" fontId="9" fillId="0" borderId="29" xfId="0" applyFont="1" applyFill="1" applyBorder="1" applyAlignment="1">
      <alignment wrapText="1"/>
    </xf>
    <xf numFmtId="169" fontId="6" fillId="0" borderId="0" xfId="0" applyNumberFormat="1" applyFont="1" applyFill="1" applyBorder="1" applyAlignment="1">
      <alignment horizontal="right"/>
    </xf>
    <xf numFmtId="0" fontId="7" fillId="0" borderId="30" xfId="0" applyFont="1" applyFill="1" applyBorder="1" applyAlignment="1">
      <alignment/>
    </xf>
    <xf numFmtId="0" fontId="7" fillId="0" borderId="31" xfId="0" applyFont="1" applyFill="1" applyBorder="1" applyAlignment="1">
      <alignment horizontal="center"/>
    </xf>
    <xf numFmtId="2" fontId="10" fillId="0" borderId="31" xfId="0" applyNumberFormat="1" applyFont="1" applyFill="1" applyBorder="1" applyAlignment="1">
      <alignment horizontal="center"/>
    </xf>
    <xf numFmtId="43" fontId="7" fillId="0" borderId="31" xfId="42" applyFont="1" applyFill="1" applyBorder="1" applyAlignment="1">
      <alignment horizontal="center"/>
    </xf>
    <xf numFmtId="1" fontId="7" fillId="0" borderId="31" xfId="0" applyNumberFormat="1" applyFont="1" applyFill="1" applyBorder="1" applyAlignment="1">
      <alignment horizontal="center"/>
    </xf>
    <xf numFmtId="169" fontId="0" fillId="0" borderId="34" xfId="0" applyNumberFormat="1" applyFont="1" applyFill="1" applyBorder="1" applyAlignment="1">
      <alignment horizontal="center"/>
    </xf>
    <xf numFmtId="0" fontId="7" fillId="0" borderId="35" xfId="0" applyFont="1" applyFill="1" applyBorder="1" applyAlignment="1">
      <alignment/>
    </xf>
    <xf numFmtId="0" fontId="0" fillId="0" borderId="34" xfId="0" applyFont="1" applyFill="1" applyBorder="1" applyAlignment="1">
      <alignment/>
    </xf>
    <xf numFmtId="3" fontId="7" fillId="0" borderId="34" xfId="0" applyNumberFormat="1" applyFont="1" applyFill="1" applyBorder="1" applyAlignment="1">
      <alignment horizontal="center"/>
    </xf>
    <xf numFmtId="4" fontId="10" fillId="0" borderId="34" xfId="0" applyNumberFormat="1" applyFont="1" applyFill="1" applyBorder="1" applyAlignment="1">
      <alignment horizontal="center"/>
    </xf>
    <xf numFmtId="3" fontId="10" fillId="0" borderId="34" xfId="0" applyNumberFormat="1" applyFont="1" applyFill="1" applyBorder="1" applyAlignment="1">
      <alignment horizontal="center"/>
    </xf>
    <xf numFmtId="169" fontId="0" fillId="0" borderId="36" xfId="0" applyNumberFormat="1" applyFont="1" applyFill="1" applyBorder="1" applyAlignment="1">
      <alignment horizontal="center"/>
    </xf>
    <xf numFmtId="0" fontId="0" fillId="0" borderId="0" xfId="0" applyFont="1" applyFill="1" applyAlignment="1">
      <alignment wrapText="1"/>
    </xf>
    <xf numFmtId="0" fontId="0" fillId="4" borderId="37" xfId="0" applyFont="1" applyFill="1" applyBorder="1" applyAlignment="1">
      <alignment/>
    </xf>
    <xf numFmtId="0" fontId="0" fillId="4" borderId="38" xfId="0" applyFont="1" applyFill="1" applyBorder="1" applyAlignment="1">
      <alignment/>
    </xf>
    <xf numFmtId="0" fontId="0" fillId="4" borderId="39" xfId="0" applyFont="1" applyFill="1" applyBorder="1" applyAlignment="1">
      <alignment/>
    </xf>
    <xf numFmtId="0" fontId="0" fillId="4" borderId="40" xfId="0" applyFont="1" applyFill="1" applyBorder="1" applyAlignment="1">
      <alignment/>
    </xf>
    <xf numFmtId="0" fontId="0" fillId="4" borderId="0" xfId="0" applyFont="1" applyFill="1" applyBorder="1" applyAlignment="1">
      <alignment/>
    </xf>
    <xf numFmtId="0" fontId="0" fillId="4" borderId="41" xfId="0" applyFont="1" applyFill="1" applyBorder="1" applyAlignment="1">
      <alignment/>
    </xf>
    <xf numFmtId="0" fontId="0" fillId="4" borderId="16" xfId="0" applyFont="1" applyFill="1" applyBorder="1" applyAlignment="1">
      <alignment/>
    </xf>
    <xf numFmtId="43" fontId="0" fillId="4" borderId="16" xfId="42" applyFont="1" applyFill="1" applyBorder="1" applyAlignment="1">
      <alignment/>
    </xf>
    <xf numFmtId="43" fontId="0" fillId="4" borderId="0" xfId="42" applyFont="1" applyFill="1" applyBorder="1" applyAlignment="1">
      <alignment/>
    </xf>
    <xf numFmtId="0" fontId="0" fillId="4" borderId="16" xfId="0" applyFont="1" applyFill="1" applyBorder="1" applyAlignment="1">
      <alignment horizontal="right" wrapText="1"/>
    </xf>
    <xf numFmtId="43" fontId="0" fillId="4" borderId="42" xfId="42" applyFont="1" applyFill="1" applyBorder="1" applyAlignment="1">
      <alignment/>
    </xf>
    <xf numFmtId="0" fontId="0" fillId="4" borderId="42" xfId="0" applyFont="1" applyFill="1" applyBorder="1" applyAlignment="1">
      <alignment/>
    </xf>
    <xf numFmtId="0" fontId="0" fillId="4" borderId="43" xfId="0" applyFont="1" applyFill="1" applyBorder="1" applyAlignment="1">
      <alignment/>
    </xf>
    <xf numFmtId="169" fontId="0" fillId="0" borderId="16" xfId="0" applyNumberFormat="1" applyFont="1" applyFill="1" applyBorder="1" applyAlignment="1">
      <alignment/>
    </xf>
    <xf numFmtId="0" fontId="0" fillId="0" borderId="16" xfId="0" applyFont="1" applyFill="1" applyBorder="1" applyAlignment="1">
      <alignment horizontal="center"/>
    </xf>
    <xf numFmtId="4" fontId="0" fillId="0" borderId="16" xfId="0" applyNumberFormat="1" applyFont="1" applyFill="1" applyBorder="1" applyAlignment="1">
      <alignment/>
    </xf>
    <xf numFmtId="2" fontId="6" fillId="0" borderId="16" xfId="0" applyNumberFormat="1" applyFont="1" applyFill="1" applyBorder="1" applyAlignment="1">
      <alignment horizontal="center"/>
    </xf>
    <xf numFmtId="2" fontId="0" fillId="0" borderId="16" xfId="0" applyNumberFormat="1" applyFont="1" applyFill="1" applyBorder="1" applyAlignment="1">
      <alignment horizontal="center"/>
    </xf>
    <xf numFmtId="43" fontId="6" fillId="0" borderId="16" xfId="42" applyNumberFormat="1" applyFont="1" applyFill="1" applyBorder="1" applyAlignment="1">
      <alignment horizontal="center"/>
    </xf>
    <xf numFmtId="169" fontId="0" fillId="0" borderId="16" xfId="0" applyNumberFormat="1" applyFont="1" applyFill="1" applyBorder="1" applyAlignment="1">
      <alignment horizontal="center"/>
    </xf>
    <xf numFmtId="0" fontId="0" fillId="0" borderId="10" xfId="0" applyFont="1" applyFill="1" applyBorder="1" applyAlignment="1">
      <alignment horizontal="center" vertical="center"/>
    </xf>
    <xf numFmtId="169" fontId="0" fillId="0" borderId="11" xfId="0" applyNumberFormat="1" applyFont="1" applyFill="1" applyBorder="1" applyAlignment="1">
      <alignment/>
    </xf>
    <xf numFmtId="0" fontId="11" fillId="0" borderId="11" xfId="0" applyFont="1" applyFill="1" applyBorder="1" applyAlignment="1">
      <alignment horizontal="center"/>
    </xf>
    <xf numFmtId="0" fontId="11" fillId="0" borderId="11" xfId="0" applyFont="1" applyFill="1" applyBorder="1" applyAlignment="1">
      <alignment horizontal="center" wrapText="1"/>
    </xf>
    <xf numFmtId="0" fontId="0" fillId="0" borderId="11" xfId="0" applyFont="1" applyFill="1" applyBorder="1" applyAlignment="1">
      <alignment horizontal="center"/>
    </xf>
    <xf numFmtId="169" fontId="7" fillId="0" borderId="15" xfId="0" applyNumberFormat="1" applyFont="1" applyFill="1" applyBorder="1" applyAlignment="1">
      <alignment/>
    </xf>
    <xf numFmtId="0" fontId="0" fillId="0" borderId="20" xfId="0" applyFont="1" applyFill="1" applyBorder="1" applyAlignment="1">
      <alignment horizontal="center"/>
    </xf>
    <xf numFmtId="169" fontId="9" fillId="0" borderId="15" xfId="0" applyNumberFormat="1" applyFont="1" applyFill="1" applyBorder="1" applyAlignment="1">
      <alignment/>
    </xf>
    <xf numFmtId="169" fontId="0" fillId="0" borderId="20" xfId="0" applyNumberFormat="1" applyFont="1" applyFill="1" applyBorder="1" applyAlignment="1">
      <alignment horizontal="center"/>
    </xf>
    <xf numFmtId="169" fontId="9" fillId="0" borderId="21" xfId="0" applyNumberFormat="1" applyFont="1" applyFill="1" applyBorder="1" applyAlignment="1">
      <alignment/>
    </xf>
    <xf numFmtId="4" fontId="0" fillId="0" borderId="22" xfId="0" applyNumberFormat="1" applyFont="1" applyFill="1" applyBorder="1" applyAlignment="1">
      <alignment/>
    </xf>
    <xf numFmtId="0" fontId="0" fillId="0" borderId="22" xfId="0" applyFont="1" applyFill="1" applyBorder="1" applyAlignment="1">
      <alignment horizontal="center"/>
    </xf>
    <xf numFmtId="2" fontId="6" fillId="0" borderId="22" xfId="0" applyNumberFormat="1" applyFont="1" applyFill="1" applyBorder="1" applyAlignment="1">
      <alignment horizontal="center"/>
    </xf>
    <xf numFmtId="2" fontId="0" fillId="0" borderId="22" xfId="0" applyNumberFormat="1" applyFont="1" applyFill="1" applyBorder="1" applyAlignment="1">
      <alignment horizontal="center"/>
    </xf>
    <xf numFmtId="43" fontId="6" fillId="0" borderId="22" xfId="42" applyNumberFormat="1" applyFont="1" applyFill="1" applyBorder="1" applyAlignment="1">
      <alignment horizontal="center"/>
    </xf>
    <xf numFmtId="169" fontId="0" fillId="0" borderId="22" xfId="0" applyNumberFormat="1" applyFont="1" applyFill="1" applyBorder="1" applyAlignment="1">
      <alignment horizontal="center"/>
    </xf>
    <xf numFmtId="169" fontId="0" fillId="0" borderId="25" xfId="0" applyNumberFormat="1" applyFont="1" applyFill="1" applyBorder="1" applyAlignment="1">
      <alignment horizontal="center"/>
    </xf>
    <xf numFmtId="169" fontId="7" fillId="0" borderId="35" xfId="0" applyNumberFormat="1" applyFont="1" applyFill="1" applyBorder="1" applyAlignment="1">
      <alignment/>
    </xf>
    <xf numFmtId="3" fontId="0" fillId="0" borderId="34" xfId="0" applyNumberFormat="1" applyFont="1" applyFill="1" applyBorder="1" applyAlignment="1">
      <alignment horizontal="center"/>
    </xf>
    <xf numFmtId="4" fontId="7" fillId="0" borderId="34" xfId="0" applyNumberFormat="1" applyFont="1" applyFill="1" applyBorder="1" applyAlignment="1">
      <alignment horizontal="center"/>
    </xf>
    <xf numFmtId="2" fontId="7" fillId="0" borderId="34" xfId="0" applyNumberFormat="1" applyFont="1" applyFill="1" applyBorder="1" applyAlignment="1">
      <alignment horizontal="center"/>
    </xf>
    <xf numFmtId="43" fontId="1" fillId="0" borderId="34" xfId="42" applyNumberFormat="1" applyFont="1" applyFill="1" applyBorder="1" applyAlignment="1">
      <alignment horizontal="center"/>
    </xf>
    <xf numFmtId="171" fontId="1" fillId="0" borderId="34" xfId="42" applyNumberFormat="1" applyFont="1" applyFill="1" applyBorder="1" applyAlignment="1">
      <alignment horizontal="center"/>
    </xf>
    <xf numFmtId="1" fontId="1" fillId="0" borderId="34" xfId="0" applyNumberFormat="1" applyFont="1" applyFill="1" applyBorder="1" applyAlignment="1">
      <alignment horizontal="center"/>
    </xf>
    <xf numFmtId="0" fontId="7" fillId="0" borderId="44" xfId="0" applyFont="1" applyFill="1" applyBorder="1" applyAlignment="1">
      <alignment/>
    </xf>
    <xf numFmtId="0" fontId="0" fillId="0" borderId="45" xfId="0" applyFont="1" applyFill="1" applyBorder="1" applyAlignment="1">
      <alignment/>
    </xf>
    <xf numFmtId="0" fontId="7" fillId="0" borderId="45" xfId="0" applyFont="1" applyFill="1" applyBorder="1" applyAlignment="1">
      <alignment horizontal="center"/>
    </xf>
    <xf numFmtId="2" fontId="10" fillId="0" borderId="45" xfId="0" applyNumberFormat="1" applyFont="1" applyFill="1" applyBorder="1" applyAlignment="1">
      <alignment horizontal="center"/>
    </xf>
    <xf numFmtId="2" fontId="7" fillId="0" borderId="45" xfId="0" applyNumberFormat="1" applyFont="1" applyFill="1" applyBorder="1" applyAlignment="1">
      <alignment horizontal="center"/>
    </xf>
    <xf numFmtId="43" fontId="7" fillId="0" borderId="45" xfId="42" applyFont="1" applyFill="1" applyBorder="1" applyAlignment="1">
      <alignment horizontal="center"/>
    </xf>
    <xf numFmtId="1" fontId="7" fillId="0" borderId="45" xfId="0" applyNumberFormat="1" applyFont="1" applyFill="1" applyBorder="1" applyAlignment="1">
      <alignment horizontal="center"/>
    </xf>
    <xf numFmtId="3" fontId="7" fillId="0" borderId="45" xfId="0" applyNumberFormat="1" applyFont="1" applyFill="1" applyBorder="1" applyAlignment="1">
      <alignment horizontal="center"/>
    </xf>
    <xf numFmtId="4" fontId="10" fillId="0" borderId="45" xfId="0" applyNumberFormat="1" applyFont="1" applyFill="1" applyBorder="1" applyAlignment="1">
      <alignment horizontal="center"/>
    </xf>
    <xf numFmtId="3" fontId="10" fillId="0" borderId="45" xfId="0" applyNumberFormat="1" applyFont="1" applyFill="1" applyBorder="1" applyAlignment="1">
      <alignment horizontal="center"/>
    </xf>
    <xf numFmtId="0" fontId="3" fillId="0" borderId="16" xfId="0" applyFont="1" applyFill="1" applyBorder="1" applyAlignment="1">
      <alignment horizontal="center"/>
    </xf>
    <xf numFmtId="0" fontId="0" fillId="0" borderId="12" xfId="0" applyFont="1" applyFill="1" applyBorder="1" applyAlignment="1">
      <alignment horizontal="center"/>
    </xf>
    <xf numFmtId="0" fontId="3" fillId="0" borderId="17" xfId="0" applyFont="1" applyFill="1" applyBorder="1" applyAlignment="1">
      <alignment/>
    </xf>
    <xf numFmtId="0" fontId="3" fillId="0" borderId="17" xfId="0" applyFont="1" applyFill="1" applyBorder="1" applyAlignment="1">
      <alignment horizontal="center"/>
    </xf>
    <xf numFmtId="169" fontId="6" fillId="0" borderId="16" xfId="0" applyNumberFormat="1" applyFont="1" applyFill="1" applyBorder="1" applyAlignment="1">
      <alignment/>
    </xf>
    <xf numFmtId="169" fontId="1" fillId="0" borderId="34" xfId="0" applyNumberFormat="1" applyFont="1" applyFill="1" applyBorder="1" applyAlignment="1">
      <alignment horizontal="center"/>
    </xf>
    <xf numFmtId="169" fontId="1" fillId="0" borderId="36" xfId="0" applyNumberFormat="1" applyFont="1" applyFill="1" applyBorder="1" applyAlignment="1">
      <alignment horizontal="center"/>
    </xf>
    <xf numFmtId="169" fontId="1" fillId="0" borderId="45" xfId="0" applyNumberFormat="1" applyFont="1" applyFill="1" applyBorder="1" applyAlignment="1">
      <alignment horizontal="center"/>
    </xf>
    <xf numFmtId="169" fontId="1" fillId="0" borderId="46" xfId="0" applyNumberFormat="1" applyFont="1" applyFill="1" applyBorder="1" applyAlignment="1">
      <alignment horizontal="center"/>
    </xf>
    <xf numFmtId="169" fontId="1" fillId="0" borderId="0" xfId="0" applyNumberFormat="1" applyFont="1" applyFill="1" applyAlignment="1">
      <alignment horizontal="center"/>
    </xf>
    <xf numFmtId="169" fontId="1" fillId="0" borderId="0" xfId="0" applyNumberFormat="1" applyFont="1" applyFill="1" applyBorder="1" applyAlignment="1">
      <alignment horizontal="center"/>
    </xf>
    <xf numFmtId="2" fontId="6" fillId="0" borderId="16" xfId="0" applyNumberFormat="1" applyFont="1" applyFill="1" applyBorder="1" applyAlignment="1">
      <alignment horizontal="right"/>
    </xf>
    <xf numFmtId="43" fontId="6" fillId="0" borderId="16" xfId="42" applyFont="1" applyFill="1" applyBorder="1" applyAlignment="1">
      <alignment horizontal="right"/>
    </xf>
    <xf numFmtId="0" fontId="9" fillId="0" borderId="10" xfId="0" applyFont="1" applyFill="1" applyBorder="1" applyAlignment="1">
      <alignment/>
    </xf>
    <xf numFmtId="2" fontId="6" fillId="0" borderId="11" xfId="0" applyNumberFormat="1" applyFont="1" applyFill="1" applyBorder="1" applyAlignment="1">
      <alignment horizontal="center"/>
    </xf>
    <xf numFmtId="2" fontId="0" fillId="0" borderId="11" xfId="0" applyNumberFormat="1" applyFont="1" applyFill="1" applyBorder="1" applyAlignment="1">
      <alignment horizontal="center"/>
    </xf>
    <xf numFmtId="2" fontId="6" fillId="0" borderId="11" xfId="0" applyNumberFormat="1" applyFont="1" applyFill="1" applyBorder="1" applyAlignment="1">
      <alignment horizontal="right"/>
    </xf>
    <xf numFmtId="169" fontId="0" fillId="0" borderId="11" xfId="0" applyNumberFormat="1" applyFont="1" applyFill="1" applyBorder="1" applyAlignment="1">
      <alignment horizontal="center"/>
    </xf>
    <xf numFmtId="169" fontId="0" fillId="0" borderId="14" xfId="0" applyNumberFormat="1" applyFont="1" applyFill="1" applyBorder="1" applyAlignment="1">
      <alignment horizontal="center"/>
    </xf>
    <xf numFmtId="0" fontId="9" fillId="0" borderId="15" xfId="0" applyFont="1" applyFill="1" applyBorder="1" applyAlignment="1">
      <alignment/>
    </xf>
    <xf numFmtId="0" fontId="9" fillId="0" borderId="21" xfId="0" applyFont="1" applyFill="1" applyBorder="1" applyAlignment="1">
      <alignment wrapText="1"/>
    </xf>
    <xf numFmtId="0" fontId="0" fillId="0" borderId="22" xfId="0" applyFont="1" applyFill="1" applyBorder="1" applyAlignment="1">
      <alignment/>
    </xf>
    <xf numFmtId="2" fontId="6" fillId="0" borderId="22" xfId="0" applyNumberFormat="1" applyFont="1" applyFill="1" applyBorder="1" applyAlignment="1">
      <alignment horizontal="right"/>
    </xf>
    <xf numFmtId="0" fontId="0" fillId="0" borderId="47" xfId="0" applyFont="1" applyFill="1" applyBorder="1" applyAlignment="1">
      <alignment/>
    </xf>
    <xf numFmtId="0" fontId="0" fillId="0" borderId="42" xfId="0" applyFont="1" applyFill="1" applyBorder="1" applyAlignment="1">
      <alignment/>
    </xf>
    <xf numFmtId="0" fontId="0" fillId="0" borderId="42" xfId="0" applyFont="1" applyFill="1" applyBorder="1" applyAlignment="1">
      <alignment horizontal="center"/>
    </xf>
    <xf numFmtId="0" fontId="0" fillId="0" borderId="43" xfId="0" applyFont="1" applyFill="1" applyBorder="1" applyAlignment="1">
      <alignment horizontal="center"/>
    </xf>
    <xf numFmtId="0" fontId="9" fillId="0" borderId="37" xfId="0" applyFont="1" applyFill="1" applyBorder="1" applyAlignment="1">
      <alignment/>
    </xf>
    <xf numFmtId="0" fontId="9" fillId="0" borderId="38" xfId="0" applyFont="1" applyFill="1" applyBorder="1" applyAlignment="1">
      <alignment/>
    </xf>
    <xf numFmtId="0" fontId="9" fillId="0" borderId="38" xfId="0" applyFont="1" applyFill="1" applyBorder="1" applyAlignment="1">
      <alignment horizontal="center"/>
    </xf>
    <xf numFmtId="0" fontId="9" fillId="0" borderId="39" xfId="0" applyFont="1" applyFill="1" applyBorder="1" applyAlignment="1">
      <alignment horizontal="center"/>
    </xf>
    <xf numFmtId="0" fontId="9" fillId="0" borderId="40" xfId="0" applyFont="1" applyFill="1" applyBorder="1" applyAlignment="1">
      <alignment/>
    </xf>
    <xf numFmtId="0" fontId="9" fillId="0" borderId="0" xfId="0" applyFont="1" applyFill="1" applyBorder="1" applyAlignment="1">
      <alignment/>
    </xf>
    <xf numFmtId="0" fontId="9" fillId="0" borderId="41" xfId="0" applyFont="1" applyFill="1" applyBorder="1" applyAlignment="1">
      <alignment horizontal="center"/>
    </xf>
    <xf numFmtId="0" fontId="9" fillId="0" borderId="40" xfId="0" applyFont="1" applyFill="1" applyBorder="1" applyAlignment="1">
      <alignment horizontal="left"/>
    </xf>
    <xf numFmtId="0" fontId="9" fillId="0" borderId="0" xfId="0" applyFont="1" applyFill="1" applyBorder="1" applyAlignment="1">
      <alignment horizontal="left"/>
    </xf>
    <xf numFmtId="0" fontId="9" fillId="0" borderId="41" xfId="0" applyFont="1" applyFill="1" applyBorder="1" applyAlignment="1">
      <alignment horizontal="left"/>
    </xf>
    <xf numFmtId="169" fontId="9" fillId="24" borderId="15" xfId="0" applyNumberFormat="1" applyFont="1" applyFill="1" applyBorder="1" applyAlignment="1">
      <alignment/>
    </xf>
    <xf numFmtId="169" fontId="9" fillId="25" borderId="15" xfId="0" applyNumberFormat="1" applyFont="1" applyFill="1" applyBorder="1" applyAlignment="1">
      <alignment/>
    </xf>
    <xf numFmtId="0" fontId="9" fillId="0" borderId="0" xfId="0" applyFont="1" applyFill="1" applyBorder="1" applyAlignment="1">
      <alignment horizontal="left" wrapText="1"/>
    </xf>
    <xf numFmtId="0" fontId="9" fillId="0" borderId="41" xfId="0" applyFont="1" applyFill="1" applyBorder="1" applyAlignment="1">
      <alignment horizontal="left" wrapText="1"/>
    </xf>
    <xf numFmtId="14" fontId="6" fillId="17" borderId="0" xfId="0" applyNumberFormat="1" applyFont="1" applyFill="1" applyAlignment="1">
      <alignment horizontal="left"/>
    </xf>
    <xf numFmtId="0" fontId="0" fillId="4" borderId="16" xfId="0" applyFill="1" applyBorder="1" applyAlignment="1">
      <alignment horizontal="right" wrapText="1"/>
    </xf>
    <xf numFmtId="2" fontId="0" fillId="0" borderId="16" xfId="0" applyNumberFormat="1" applyFill="1" applyBorder="1" applyAlignment="1">
      <alignment horizontal="center"/>
    </xf>
    <xf numFmtId="0" fontId="0" fillId="0" borderId="16" xfId="0" applyFill="1" applyBorder="1" applyAlignment="1">
      <alignment horizontal="center"/>
    </xf>
    <xf numFmtId="0" fontId="0" fillId="0" borderId="22" xfId="0" applyFill="1" applyBorder="1" applyAlignment="1">
      <alignment horizontal="center"/>
    </xf>
    <xf numFmtId="0" fontId="0" fillId="0" borderId="40" xfId="0" applyFont="1" applyFill="1" applyBorder="1" applyAlignment="1">
      <alignment/>
    </xf>
    <xf numFmtId="0" fontId="0" fillId="0" borderId="40" xfId="0" applyFill="1" applyBorder="1" applyAlignment="1">
      <alignment/>
    </xf>
    <xf numFmtId="14" fontId="6" fillId="0" borderId="0" xfId="0" applyNumberFormat="1" applyFont="1" applyFill="1" applyAlignment="1">
      <alignment horizontal="left" wrapText="1"/>
    </xf>
    <xf numFmtId="0" fontId="3" fillId="0" borderId="13" xfId="0" applyFont="1" applyFill="1" applyBorder="1" applyAlignment="1">
      <alignment horizontal="center"/>
    </xf>
    <xf numFmtId="0" fontId="3" fillId="0" borderId="48" xfId="0" applyFont="1" applyFill="1" applyBorder="1" applyAlignment="1">
      <alignment horizontal="center"/>
    </xf>
    <xf numFmtId="0" fontId="3" fillId="0" borderId="49" xfId="0" applyFont="1" applyFill="1" applyBorder="1" applyAlignment="1">
      <alignment horizontal="center"/>
    </xf>
    <xf numFmtId="0" fontId="0" fillId="4" borderId="16" xfId="0" applyFont="1" applyFill="1" applyBorder="1" applyAlignment="1">
      <alignment horizontal="right" wrapText="1"/>
    </xf>
    <xf numFmtId="0" fontId="0" fillId="4" borderId="16" xfId="0" applyFill="1" applyBorder="1" applyAlignment="1">
      <alignment horizontal="right" wrapText="1"/>
    </xf>
    <xf numFmtId="0" fontId="3" fillId="0" borderId="18" xfId="0" applyFont="1" applyFill="1" applyBorder="1" applyAlignment="1">
      <alignment horizontal="center"/>
    </xf>
    <xf numFmtId="0" fontId="3" fillId="0" borderId="19" xfId="0" applyFont="1" applyFill="1" applyBorder="1" applyAlignment="1">
      <alignment horizontal="center"/>
    </xf>
    <xf numFmtId="0" fontId="3" fillId="0" borderId="50" xfId="0" applyFont="1" applyFill="1" applyBorder="1" applyAlignment="1">
      <alignment horizontal="center"/>
    </xf>
    <xf numFmtId="0" fontId="9" fillId="0" borderId="40" xfId="0" applyFont="1" applyFill="1" applyBorder="1" applyAlignment="1">
      <alignment horizontal="left" wrapText="1"/>
    </xf>
    <xf numFmtId="0" fontId="9" fillId="0" borderId="0" xfId="0" applyFont="1" applyFill="1" applyBorder="1" applyAlignment="1">
      <alignment horizontal="left" wrapText="1"/>
    </xf>
    <xf numFmtId="0" fontId="9" fillId="0" borderId="41" xfId="0" applyFont="1" applyFill="1" applyBorder="1" applyAlignment="1">
      <alignment horizontal="left" wrapText="1"/>
    </xf>
    <xf numFmtId="0" fontId="3" fillId="0" borderId="12" xfId="0" applyFont="1" applyFill="1" applyBorder="1" applyAlignment="1">
      <alignment horizontal="center"/>
    </xf>
    <xf numFmtId="0" fontId="3" fillId="0" borderId="51" xfId="0" applyFont="1" applyFill="1" applyBorder="1" applyAlignment="1">
      <alignment horizontal="center"/>
    </xf>
    <xf numFmtId="0" fontId="3" fillId="0" borderId="52" xfId="0" applyFont="1" applyFill="1" applyBorder="1" applyAlignment="1">
      <alignment horizontal="center"/>
    </xf>
    <xf numFmtId="0" fontId="0" fillId="0"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3"/>
  </sheetPr>
  <dimension ref="A1:Q65"/>
  <sheetViews>
    <sheetView tabSelected="1" zoomScalePageLayoutView="0" workbookViewId="0" topLeftCell="A1">
      <selection activeCell="D13" sqref="D13"/>
    </sheetView>
  </sheetViews>
  <sheetFormatPr defaultColWidth="11.50390625" defaultRowHeight="12"/>
  <cols>
    <col min="1" max="1" width="28.50390625" style="3" customWidth="1"/>
    <col min="2" max="2" width="3.625" style="3" customWidth="1"/>
    <col min="3" max="3" width="8.50390625" style="3" customWidth="1"/>
    <col min="4" max="4" width="8.875" style="3" customWidth="1"/>
    <col min="5" max="5" width="8.50390625" style="3" customWidth="1"/>
    <col min="6" max="6" width="9.625" style="3" customWidth="1"/>
    <col min="7" max="7" width="9.50390625" style="3" customWidth="1"/>
    <col min="8" max="8" width="10.875" style="3" customWidth="1"/>
    <col min="9" max="9" width="10.125" style="7" customWidth="1"/>
    <col min="10" max="10" width="8.50390625" style="7" customWidth="1"/>
    <col min="11" max="11" width="8.00390625" style="7" customWidth="1"/>
    <col min="12" max="12" width="7.875" style="7" customWidth="1"/>
    <col min="13" max="13" width="7.625" style="3" customWidth="1"/>
    <col min="14" max="14" width="11.50390625" style="3" customWidth="1"/>
    <col min="15" max="15" width="10.625" style="3" customWidth="1"/>
    <col min="16" max="17" width="10.125" style="7" customWidth="1"/>
    <col min="18" max="16384" width="11.50390625" style="3" customWidth="1"/>
  </cols>
  <sheetData>
    <row r="1" spans="1:7" ht="25.5" thickBot="1">
      <c r="A1" s="1"/>
      <c r="C1" s="4"/>
      <c r="D1" s="5"/>
      <c r="G1" s="6" t="s">
        <v>13</v>
      </c>
    </row>
    <row r="2" spans="1:17" ht="12.75">
      <c r="A2" s="196" t="s">
        <v>6</v>
      </c>
      <c r="B2" s="8"/>
      <c r="C2" s="9"/>
      <c r="D2" s="10"/>
      <c r="E2" s="10"/>
      <c r="F2" s="10"/>
      <c r="G2" s="10"/>
      <c r="H2" s="10"/>
      <c r="I2" s="125"/>
      <c r="J2" s="204" t="s">
        <v>62</v>
      </c>
      <c r="K2" s="205"/>
      <c r="L2" s="205"/>
      <c r="M2" s="205"/>
      <c r="N2" s="205"/>
      <c r="O2" s="205"/>
      <c r="P2" s="205"/>
      <c r="Q2" s="206"/>
    </row>
    <row r="3" spans="1:17" ht="43.5" customHeight="1">
      <c r="A3" s="203"/>
      <c r="B3" s="15"/>
      <c r="C3" s="16" t="s">
        <v>63</v>
      </c>
      <c r="D3" s="17"/>
      <c r="E3" s="17"/>
      <c r="F3" s="17"/>
      <c r="G3" s="17"/>
      <c r="H3" s="16" t="s">
        <v>64</v>
      </c>
      <c r="I3" s="155" t="s">
        <v>10</v>
      </c>
      <c r="J3" s="209" t="s">
        <v>14</v>
      </c>
      <c r="K3" s="210"/>
      <c r="L3" s="210"/>
      <c r="M3" s="210"/>
      <c r="N3" s="210"/>
      <c r="O3" s="210"/>
      <c r="P3" s="210"/>
      <c r="Q3" s="211"/>
    </row>
    <row r="4" spans="1:17" s="31" customFormat="1" ht="12.75">
      <c r="A4" s="23"/>
      <c r="B4" s="25"/>
      <c r="C4" s="26" t="s">
        <v>67</v>
      </c>
      <c r="D4" s="26" t="s">
        <v>68</v>
      </c>
      <c r="E4" s="26" t="s">
        <v>69</v>
      </c>
      <c r="F4" s="16" t="s">
        <v>70</v>
      </c>
      <c r="G4" s="16" t="s">
        <v>70</v>
      </c>
      <c r="H4" s="16" t="s">
        <v>71</v>
      </c>
      <c r="I4" s="16" t="s">
        <v>72</v>
      </c>
      <c r="J4" s="16" t="s">
        <v>73</v>
      </c>
      <c r="K4" s="16" t="s">
        <v>73</v>
      </c>
      <c r="L4" s="16" t="s">
        <v>73</v>
      </c>
      <c r="M4" s="16" t="s">
        <v>73</v>
      </c>
      <c r="N4" s="16" t="s">
        <v>74</v>
      </c>
      <c r="O4" s="28" t="s">
        <v>75</v>
      </c>
      <c r="P4" s="16" t="s">
        <v>76</v>
      </c>
      <c r="Q4" s="30" t="s">
        <v>77</v>
      </c>
    </row>
    <row r="5" spans="1:17" s="31" customFormat="1" ht="13.5" thickBot="1">
      <c r="A5" s="159" t="s">
        <v>78</v>
      </c>
      <c r="B5" s="34" t="s">
        <v>79</v>
      </c>
      <c r="C5" s="35" t="s">
        <v>80</v>
      </c>
      <c r="D5" s="35" t="s">
        <v>81</v>
      </c>
      <c r="E5" s="35" t="s">
        <v>82</v>
      </c>
      <c r="F5" s="37" t="s">
        <v>72</v>
      </c>
      <c r="G5" s="37" t="s">
        <v>83</v>
      </c>
      <c r="H5" s="37" t="s">
        <v>84</v>
      </c>
      <c r="I5" s="37" t="s">
        <v>85</v>
      </c>
      <c r="J5" s="37" t="s">
        <v>86</v>
      </c>
      <c r="K5" s="37" t="s">
        <v>87</v>
      </c>
      <c r="L5" s="37" t="s">
        <v>88</v>
      </c>
      <c r="M5" s="37" t="s">
        <v>89</v>
      </c>
      <c r="N5" s="37" t="s">
        <v>90</v>
      </c>
      <c r="O5" s="38" t="s">
        <v>90</v>
      </c>
      <c r="P5" s="37" t="s">
        <v>91</v>
      </c>
      <c r="Q5" s="40" t="s">
        <v>92</v>
      </c>
    </row>
    <row r="6" spans="1:17" ht="13.5" thickBot="1">
      <c r="A6" s="55"/>
      <c r="B6" s="43"/>
      <c r="C6" s="43"/>
      <c r="D6" s="43"/>
      <c r="E6" s="43"/>
      <c r="F6" s="43"/>
      <c r="G6" s="43"/>
      <c r="H6" s="43"/>
      <c r="I6" s="44"/>
      <c r="J6" s="44"/>
      <c r="K6" s="44"/>
      <c r="L6" s="44"/>
      <c r="M6" s="43"/>
      <c r="N6" s="43"/>
      <c r="O6" s="43"/>
      <c r="P6" s="44"/>
      <c r="Q6" s="45"/>
    </row>
    <row r="7" spans="1:17" ht="66">
      <c r="A7" s="121" t="s">
        <v>26</v>
      </c>
      <c r="B7" s="10"/>
      <c r="C7" s="123" t="s">
        <v>22</v>
      </c>
      <c r="D7" s="123" t="s">
        <v>22</v>
      </c>
      <c r="E7" s="123" t="s">
        <v>22</v>
      </c>
      <c r="F7" s="124" t="s">
        <v>23</v>
      </c>
      <c r="G7" s="125" t="s">
        <v>97</v>
      </c>
      <c r="H7" s="125" t="s">
        <v>97</v>
      </c>
      <c r="I7" s="124" t="s">
        <v>24</v>
      </c>
      <c r="J7" s="125" t="s">
        <v>97</v>
      </c>
      <c r="K7" s="124" t="s">
        <v>25</v>
      </c>
      <c r="L7" s="124" t="s">
        <v>25</v>
      </c>
      <c r="M7" s="124" t="s">
        <v>25</v>
      </c>
      <c r="N7" s="125" t="s">
        <v>97</v>
      </c>
      <c r="O7" s="125" t="s">
        <v>97</v>
      </c>
      <c r="P7" s="125" t="s">
        <v>97</v>
      </c>
      <c r="Q7" s="14" t="s">
        <v>97</v>
      </c>
    </row>
    <row r="8" spans="1:17" ht="12.75" customHeight="1">
      <c r="A8" s="126" t="s">
        <v>93</v>
      </c>
      <c r="B8" s="17"/>
      <c r="C8" s="17"/>
      <c r="D8" s="17"/>
      <c r="E8" s="17"/>
      <c r="F8" s="17"/>
      <c r="G8" s="17"/>
      <c r="H8" s="17"/>
      <c r="I8" s="115"/>
      <c r="J8" s="115"/>
      <c r="K8" s="115"/>
      <c r="L8" s="115"/>
      <c r="M8" s="17"/>
      <c r="N8" s="17"/>
      <c r="O8" s="17"/>
      <c r="P8" s="115"/>
      <c r="Q8" s="127"/>
    </row>
    <row r="9" spans="1:17" ht="12.75" customHeight="1">
      <c r="A9" s="128" t="s">
        <v>98</v>
      </c>
      <c r="B9" s="115" t="s">
        <v>99</v>
      </c>
      <c r="C9" s="115">
        <v>10</v>
      </c>
      <c r="D9" s="115">
        <v>2</v>
      </c>
      <c r="E9" s="115"/>
      <c r="F9" s="115">
        <v>8</v>
      </c>
      <c r="G9" s="117">
        <f>(F9/6)</f>
        <v>1.3333333333333333</v>
      </c>
      <c r="H9" s="118">
        <f>SUM(C9:E9)+G9</f>
        <v>13.333333333333334</v>
      </c>
      <c r="I9" s="119">
        <f>803+898+108</f>
        <v>1809</v>
      </c>
      <c r="J9" s="115">
        <f>SUM(K9:M9)</f>
        <v>433</v>
      </c>
      <c r="K9" s="115">
        <f>82+4</f>
        <v>86</v>
      </c>
      <c r="L9" s="115">
        <f>108+8</f>
        <v>116</v>
      </c>
      <c r="M9" s="115">
        <f>204+27</f>
        <v>231</v>
      </c>
      <c r="N9" s="120">
        <f>M9/H9</f>
        <v>17.325</v>
      </c>
      <c r="O9" s="120">
        <f>J9/H9</f>
        <v>32.475</v>
      </c>
      <c r="P9" s="120">
        <f>(I9/8.5)/H9</f>
        <v>15.961764705882352</v>
      </c>
      <c r="Q9" s="129">
        <f>I9/((H9*0.95)*6)</f>
        <v>23.80263157894737</v>
      </c>
    </row>
    <row r="10" spans="1:17" ht="12.75">
      <c r="A10" s="128" t="s">
        <v>33</v>
      </c>
      <c r="B10" s="115" t="s">
        <v>99</v>
      </c>
      <c r="C10" s="115">
        <v>5</v>
      </c>
      <c r="D10" s="115">
        <v>1</v>
      </c>
      <c r="E10" s="115"/>
      <c r="F10" s="115">
        <v>2</v>
      </c>
      <c r="G10" s="117">
        <f>(F10/6)</f>
        <v>0.3333333333333333</v>
      </c>
      <c r="H10" s="118">
        <f>SUM(C10:E10)+G10</f>
        <v>6.333333333333333</v>
      </c>
      <c r="I10" s="119">
        <f>405+321+67+15</f>
        <v>808</v>
      </c>
      <c r="J10" s="115">
        <f>SUM(K10:M10)</f>
        <v>75</v>
      </c>
      <c r="K10" s="115">
        <v>6</v>
      </c>
      <c r="L10" s="115">
        <f>21+4</f>
        <v>25</v>
      </c>
      <c r="M10" s="115">
        <f>31+13</f>
        <v>44</v>
      </c>
      <c r="N10" s="120">
        <f>M10/H10</f>
        <v>6.947368421052632</v>
      </c>
      <c r="O10" s="120">
        <f>J10/H10</f>
        <v>11.842105263157896</v>
      </c>
      <c r="P10" s="120">
        <f>(I10/8.5)/H10</f>
        <v>15.009287925696595</v>
      </c>
      <c r="Q10" s="129">
        <f>I10/((H10*0.95)*6)</f>
        <v>22.382271468144047</v>
      </c>
    </row>
    <row r="11" spans="1:17" ht="12.75">
      <c r="A11" s="128"/>
      <c r="B11" s="115"/>
      <c r="C11" s="115"/>
      <c r="D11" s="115"/>
      <c r="E11" s="115"/>
      <c r="F11" s="115"/>
      <c r="G11" s="117"/>
      <c r="H11" s="118"/>
      <c r="I11" s="119"/>
      <c r="J11" s="115"/>
      <c r="K11" s="115"/>
      <c r="L11" s="115"/>
      <c r="M11" s="115"/>
      <c r="N11" s="120"/>
      <c r="O11" s="120"/>
      <c r="P11" s="120"/>
      <c r="Q11" s="129"/>
    </row>
    <row r="12" spans="1:17" ht="12.75" customHeight="1">
      <c r="A12" s="128" t="s">
        <v>34</v>
      </c>
      <c r="B12" s="115" t="s">
        <v>102</v>
      </c>
      <c r="C12" s="115">
        <v>9.5</v>
      </c>
      <c r="D12" s="198">
        <v>1.66</v>
      </c>
      <c r="E12" s="115"/>
      <c r="F12" s="115">
        <v>2</v>
      </c>
      <c r="G12" s="117">
        <f>(F12/6)</f>
        <v>0.3333333333333333</v>
      </c>
      <c r="H12" s="118">
        <f>SUM(C12:E12)+G12</f>
        <v>11.493333333333334</v>
      </c>
      <c r="I12" s="119">
        <f>445+549+68+96+37</f>
        <v>1195</v>
      </c>
      <c r="J12" s="115">
        <f>SUM(K12:M12)</f>
        <v>172</v>
      </c>
      <c r="K12" s="115">
        <f>40+5</f>
        <v>45</v>
      </c>
      <c r="L12" s="115">
        <f>42+4</f>
        <v>46</v>
      </c>
      <c r="M12" s="115">
        <f>67+14</f>
        <v>81</v>
      </c>
      <c r="N12" s="120">
        <f>M12/H12</f>
        <v>7.047563805104408</v>
      </c>
      <c r="O12" s="120">
        <f>J12/H12</f>
        <v>14.96519721577726</v>
      </c>
      <c r="P12" s="120">
        <f>(I12/8.5)/H12</f>
        <v>12.232155042991675</v>
      </c>
      <c r="Q12" s="129">
        <f>I12/((H12*0.95)*6)</f>
        <v>18.240932958847235</v>
      </c>
    </row>
    <row r="13" spans="1:17" ht="12.75" customHeight="1">
      <c r="A13" s="128" t="s">
        <v>103</v>
      </c>
      <c r="B13" s="115" t="s">
        <v>102</v>
      </c>
      <c r="C13" s="115">
        <v>6</v>
      </c>
      <c r="D13" s="115"/>
      <c r="E13" s="115"/>
      <c r="F13" s="115">
        <v>12</v>
      </c>
      <c r="G13" s="117">
        <f>(F13/6)</f>
        <v>2</v>
      </c>
      <c r="H13" s="118">
        <f>SUM(C13:E13)+G13</f>
        <v>8</v>
      </c>
      <c r="I13" s="119">
        <f>416+335+15</f>
        <v>766</v>
      </c>
      <c r="J13" s="115">
        <f>SUM(K13:M13)</f>
        <v>65</v>
      </c>
      <c r="K13" s="115">
        <f>1+4</f>
        <v>5</v>
      </c>
      <c r="L13" s="115">
        <f>6+4</f>
        <v>10</v>
      </c>
      <c r="M13" s="115">
        <f>23+27</f>
        <v>50</v>
      </c>
      <c r="N13" s="120">
        <f>M13/H13</f>
        <v>6.25</v>
      </c>
      <c r="O13" s="120">
        <f>J13/H13</f>
        <v>8.125</v>
      </c>
      <c r="P13" s="120">
        <f>(I13/8.5)/H13</f>
        <v>11.264705882352942</v>
      </c>
      <c r="Q13" s="129">
        <f>I13/((H13*0.95)*6)</f>
        <v>16.79824561403509</v>
      </c>
    </row>
    <row r="14" spans="1:17" ht="12.75">
      <c r="A14" s="128" t="s">
        <v>104</v>
      </c>
      <c r="B14" s="115" t="s">
        <v>102</v>
      </c>
      <c r="C14" s="115">
        <v>7.5</v>
      </c>
      <c r="D14" s="115"/>
      <c r="E14" s="115"/>
      <c r="F14" s="115">
        <v>16</v>
      </c>
      <c r="G14" s="117">
        <f>(F14/6)</f>
        <v>2.6666666666666665</v>
      </c>
      <c r="H14" s="118">
        <f>SUM(C14:E14)+G14</f>
        <v>10.166666666666666</v>
      </c>
      <c r="I14" s="119">
        <f>376+50-24+322+35-19+144+18</f>
        <v>902</v>
      </c>
      <c r="J14" s="115">
        <f>SUM(K14:M14)</f>
        <v>14</v>
      </c>
      <c r="K14" s="115">
        <f>1+1</f>
        <v>2</v>
      </c>
      <c r="L14" s="115">
        <f>1+3</f>
        <v>4</v>
      </c>
      <c r="M14" s="115">
        <f>2+6</f>
        <v>8</v>
      </c>
      <c r="N14" s="120">
        <f>M14/H14</f>
        <v>0.7868852459016394</v>
      </c>
      <c r="O14" s="120">
        <f>J14/H14</f>
        <v>1.3770491803278688</v>
      </c>
      <c r="P14" s="120">
        <f>(I14/8.5)/H14</f>
        <v>10.437801350048217</v>
      </c>
      <c r="Q14" s="129">
        <f>I14/((H14*0.95)*6)</f>
        <v>15.565142364106991</v>
      </c>
    </row>
    <row r="15" spans="1:17" ht="12.75">
      <c r="A15" s="128" t="s">
        <v>38</v>
      </c>
      <c r="B15" s="115" t="s">
        <v>102</v>
      </c>
      <c r="C15" s="115">
        <v>2.5</v>
      </c>
      <c r="D15" s="115">
        <v>2</v>
      </c>
      <c r="E15" s="115"/>
      <c r="F15" s="115">
        <v>3</v>
      </c>
      <c r="G15" s="117">
        <f>(F15/6)</f>
        <v>0.5</v>
      </c>
      <c r="H15" s="118">
        <f>SUM(C15:E15)+G15</f>
        <v>5</v>
      </c>
      <c r="I15" s="119">
        <f>345+283+20+15</f>
        <v>663</v>
      </c>
      <c r="J15" s="115">
        <f>SUM(K15:M15)</f>
        <v>24</v>
      </c>
      <c r="K15" s="115">
        <f>2+1</f>
        <v>3</v>
      </c>
      <c r="L15" s="115">
        <f>3+3</f>
        <v>6</v>
      </c>
      <c r="M15" s="115">
        <f>7+8</f>
        <v>15</v>
      </c>
      <c r="N15" s="120">
        <f>M15/H15</f>
        <v>3</v>
      </c>
      <c r="O15" s="120">
        <f>J15/H15</f>
        <v>4.8</v>
      </c>
      <c r="P15" s="120">
        <f>(I15/8.5)/H15</f>
        <v>15.6</v>
      </c>
      <c r="Q15" s="129">
        <f>I15/((H15*0.95)*6)</f>
        <v>23.263157894736842</v>
      </c>
    </row>
    <row r="16" spans="1:17" ht="12.75">
      <c r="A16" s="128" t="s">
        <v>36</v>
      </c>
      <c r="B16" s="115" t="s">
        <v>102</v>
      </c>
      <c r="C16" s="115">
        <v>3</v>
      </c>
      <c r="D16" s="115">
        <v>1</v>
      </c>
      <c r="E16" s="115"/>
      <c r="F16" s="115"/>
      <c r="G16" s="117">
        <f>(F16/6)</f>
        <v>0</v>
      </c>
      <c r="H16" s="118">
        <f>SUM(C16:E16)+G16</f>
        <v>4</v>
      </c>
      <c r="I16" s="119">
        <f>227+256+70+15</f>
        <v>568</v>
      </c>
      <c r="J16" s="115">
        <f>SUM(K16:M16)</f>
        <v>9</v>
      </c>
      <c r="K16" s="115">
        <v>1</v>
      </c>
      <c r="L16" s="115">
        <v>2</v>
      </c>
      <c r="M16" s="115">
        <f>3+3</f>
        <v>6</v>
      </c>
      <c r="N16" s="120">
        <f>M16/H16</f>
        <v>1.5</v>
      </c>
      <c r="O16" s="120">
        <f>J16/H16</f>
        <v>2.25</v>
      </c>
      <c r="P16" s="120">
        <f>(I16/8.5)/H16</f>
        <v>16.705882352941178</v>
      </c>
      <c r="Q16" s="129">
        <f>I16/((H16*0.95)*6)</f>
        <v>24.91228070175439</v>
      </c>
    </row>
    <row r="17" spans="1:17" ht="12.75">
      <c r="A17" s="128"/>
      <c r="B17" s="115"/>
      <c r="C17" s="115"/>
      <c r="D17" s="115"/>
      <c r="E17" s="115"/>
      <c r="F17" s="115"/>
      <c r="G17" s="117"/>
      <c r="H17" s="118"/>
      <c r="I17" s="119"/>
      <c r="J17" s="115"/>
      <c r="K17" s="115"/>
      <c r="L17" s="115"/>
      <c r="M17" s="115"/>
      <c r="N17" s="120"/>
      <c r="O17" s="120"/>
      <c r="P17" s="120"/>
      <c r="Q17" s="129"/>
    </row>
    <row r="18" spans="1:17" ht="12.75">
      <c r="A18" s="128" t="s">
        <v>107</v>
      </c>
      <c r="B18" s="115" t="s">
        <v>108</v>
      </c>
      <c r="C18" s="115">
        <v>7</v>
      </c>
      <c r="D18" s="115">
        <v>1</v>
      </c>
      <c r="E18" s="115">
        <v>1</v>
      </c>
      <c r="F18" s="115">
        <v>1</v>
      </c>
      <c r="G18" s="117">
        <f>(F18/6)</f>
        <v>0.16666666666666666</v>
      </c>
      <c r="H18" s="118">
        <f>SUM(C18:E18)+G18</f>
        <v>9.166666666666666</v>
      </c>
      <c r="I18" s="119">
        <f>463.5+387+26+42</f>
        <v>918.5</v>
      </c>
      <c r="J18" s="115">
        <f>SUM(K18:M18)</f>
        <v>223</v>
      </c>
      <c r="K18" s="115">
        <f>79+1</f>
        <v>80</v>
      </c>
      <c r="L18" s="115">
        <v>32</v>
      </c>
      <c r="M18" s="115">
        <f>108+3</f>
        <v>111</v>
      </c>
      <c r="N18" s="120">
        <f>M18/H18</f>
        <v>12.10909090909091</v>
      </c>
      <c r="O18" s="120">
        <f>J18/H18</f>
        <v>24.327272727272728</v>
      </c>
      <c r="P18" s="120">
        <f>(I18/8.5)/H18</f>
        <v>11.788235294117648</v>
      </c>
      <c r="Q18" s="129">
        <f>I18/((H18*0.95)*6)</f>
        <v>17.578947368421055</v>
      </c>
    </row>
    <row r="19" spans="1:17" ht="12.75">
      <c r="A19" s="128" t="s">
        <v>109</v>
      </c>
      <c r="B19" s="115" t="s">
        <v>108</v>
      </c>
      <c r="C19" s="115">
        <v>3.5</v>
      </c>
      <c r="D19" s="115">
        <v>2</v>
      </c>
      <c r="E19" s="115">
        <v>1</v>
      </c>
      <c r="F19" s="115">
        <v>7</v>
      </c>
      <c r="G19" s="117">
        <f>(F19/6)</f>
        <v>1.1666666666666667</v>
      </c>
      <c r="H19" s="118">
        <f>SUM(C19:E19)+G19</f>
        <v>7.666666666666667</v>
      </c>
      <c r="I19" s="119">
        <f>317+278+46.25+5-6.25</f>
        <v>640</v>
      </c>
      <c r="J19" s="115">
        <f>SUM(K19:M19)</f>
        <v>68</v>
      </c>
      <c r="K19" s="115">
        <v>15</v>
      </c>
      <c r="L19" s="115">
        <f>23+1</f>
        <v>24</v>
      </c>
      <c r="M19" s="115">
        <f>28+1</f>
        <v>29</v>
      </c>
      <c r="N19" s="120">
        <f>M19/H19</f>
        <v>3.782608695652174</v>
      </c>
      <c r="O19" s="120">
        <f>J19/H19</f>
        <v>8.869565217391305</v>
      </c>
      <c r="P19" s="120">
        <f>(I19/8.5)/H19</f>
        <v>9.820971867007673</v>
      </c>
      <c r="Q19" s="129">
        <f>I19/((H19*0.95)*6)</f>
        <v>14.645308924485125</v>
      </c>
    </row>
    <row r="20" spans="1:17" ht="12.75">
      <c r="A20" s="128" t="s">
        <v>56</v>
      </c>
      <c r="B20" s="115" t="s">
        <v>108</v>
      </c>
      <c r="C20" s="115">
        <v>10</v>
      </c>
      <c r="D20" s="115">
        <v>1</v>
      </c>
      <c r="E20" s="115"/>
      <c r="F20" s="115"/>
      <c r="G20" s="117">
        <f>(F20/6)</f>
        <v>0</v>
      </c>
      <c r="H20" s="118">
        <f>SUM(C20:E20)+G20</f>
        <v>11</v>
      </c>
      <c r="I20" s="119">
        <f>138+331+150+325+8+26</f>
        <v>978</v>
      </c>
      <c r="J20" s="115">
        <f>SUM(K20:M20)</f>
        <v>85</v>
      </c>
      <c r="K20" s="115">
        <f>22+8</f>
        <v>30</v>
      </c>
      <c r="L20" s="115">
        <f>13+3</f>
        <v>16</v>
      </c>
      <c r="M20" s="115">
        <f>33+6</f>
        <v>39</v>
      </c>
      <c r="N20" s="120">
        <f>M20/H20</f>
        <v>3.5454545454545454</v>
      </c>
      <c r="O20" s="120">
        <f>J20/H20</f>
        <v>7.7272727272727275</v>
      </c>
      <c r="P20" s="120">
        <f>(I20/8.5)/H20</f>
        <v>10.459893048128343</v>
      </c>
      <c r="Q20" s="129">
        <f>I20/((H20*0.95)*6)</f>
        <v>15.598086124401915</v>
      </c>
    </row>
    <row r="21" spans="1:17" ht="12.75">
      <c r="A21" s="128" t="s">
        <v>37</v>
      </c>
      <c r="B21" s="115" t="s">
        <v>108</v>
      </c>
      <c r="C21" s="115">
        <v>3.5</v>
      </c>
      <c r="D21" s="115">
        <v>1</v>
      </c>
      <c r="E21" s="115"/>
      <c r="F21" s="115">
        <v>6</v>
      </c>
      <c r="G21" s="117">
        <f>(F21/6)</f>
        <v>1</v>
      </c>
      <c r="H21" s="118">
        <f>SUM(C21:E21)+G21</f>
        <v>5.5</v>
      </c>
      <c r="I21" s="119">
        <f>225+217.5+106+29</f>
        <v>577.5</v>
      </c>
      <c r="J21" s="115">
        <f>SUM(K21:M21)</f>
        <v>42</v>
      </c>
      <c r="K21" s="115">
        <v>18</v>
      </c>
      <c r="L21" s="115">
        <f>6+1</f>
        <v>7</v>
      </c>
      <c r="M21" s="115">
        <f>14+3</f>
        <v>17</v>
      </c>
      <c r="N21" s="120">
        <f>M21/H21</f>
        <v>3.090909090909091</v>
      </c>
      <c r="O21" s="120">
        <f>J21/H21</f>
        <v>7.636363636363637</v>
      </c>
      <c r="P21" s="120">
        <f>(I21/8.5)/H21</f>
        <v>12.352941176470587</v>
      </c>
      <c r="Q21" s="129">
        <f>I21/((H21*0.95)*6)</f>
        <v>18.42105263157895</v>
      </c>
    </row>
    <row r="22" spans="1:17" ht="12.75">
      <c r="A22" s="128" t="s">
        <v>35</v>
      </c>
      <c r="B22" s="115" t="s">
        <v>108</v>
      </c>
      <c r="C22" s="115">
        <v>6.5</v>
      </c>
      <c r="D22" s="115">
        <v>3</v>
      </c>
      <c r="E22" s="115"/>
      <c r="F22" s="115">
        <v>3</v>
      </c>
      <c r="G22" s="117">
        <f>(F22/6)</f>
        <v>0.5</v>
      </c>
      <c r="H22" s="118">
        <f>SUM(C22:E22)+G22</f>
        <v>10</v>
      </c>
      <c r="I22" s="119">
        <f>524+671+57+44</f>
        <v>1296</v>
      </c>
      <c r="J22" s="115">
        <f>SUM(K22:M22)</f>
        <v>177</v>
      </c>
      <c r="K22" s="115">
        <v>31</v>
      </c>
      <c r="L22" s="115">
        <v>49</v>
      </c>
      <c r="M22" s="115">
        <v>97</v>
      </c>
      <c r="N22" s="120">
        <f>M22/H22</f>
        <v>9.7</v>
      </c>
      <c r="O22" s="120">
        <f>J22/H22</f>
        <v>17.7</v>
      </c>
      <c r="P22" s="120">
        <f>(I22/8.5)/H22</f>
        <v>15.24705882352941</v>
      </c>
      <c r="Q22" s="129">
        <f>I22/((H22*0.95)*6)</f>
        <v>22.736842105263158</v>
      </c>
    </row>
    <row r="23" spans="1:17" ht="12.75">
      <c r="A23" s="128"/>
      <c r="B23" s="115"/>
      <c r="C23" s="115"/>
      <c r="D23" s="115"/>
      <c r="E23" s="115"/>
      <c r="F23" s="115"/>
      <c r="G23" s="117"/>
      <c r="H23" s="118"/>
      <c r="I23" s="119"/>
      <c r="J23" s="115"/>
      <c r="K23" s="115"/>
      <c r="L23" s="115"/>
      <c r="M23" s="115"/>
      <c r="N23" s="120"/>
      <c r="O23" s="120"/>
      <c r="P23" s="120"/>
      <c r="Q23" s="129"/>
    </row>
    <row r="24" spans="1:17" ht="12.75">
      <c r="A24" s="128" t="s">
        <v>39</v>
      </c>
      <c r="B24" s="115" t="s">
        <v>114</v>
      </c>
      <c r="C24" s="115">
        <v>5</v>
      </c>
      <c r="D24" s="115"/>
      <c r="E24" s="115">
        <v>1</v>
      </c>
      <c r="F24" s="115">
        <v>8</v>
      </c>
      <c r="G24" s="117">
        <f>(F24/6)</f>
        <v>1.3333333333333333</v>
      </c>
      <c r="H24" s="118">
        <f>SUM(C24:E24)+G24</f>
        <v>7.333333333333333</v>
      </c>
      <c r="I24" s="119">
        <f>236+188+23+68</f>
        <v>515</v>
      </c>
      <c r="J24" s="115">
        <f>SUM(K24:M24)</f>
        <v>75</v>
      </c>
      <c r="K24" s="115">
        <f>14+1</f>
        <v>15</v>
      </c>
      <c r="L24" s="115">
        <f>17+1</f>
        <v>18</v>
      </c>
      <c r="M24" s="115">
        <f>41+1</f>
        <v>42</v>
      </c>
      <c r="N24" s="120">
        <f>M24/H24</f>
        <v>5.7272727272727275</v>
      </c>
      <c r="O24" s="120">
        <f>J24/H24</f>
        <v>10.227272727272728</v>
      </c>
      <c r="P24" s="120">
        <f>(I24/8.5)/H24</f>
        <v>8.262032085561497</v>
      </c>
      <c r="Q24" s="129">
        <f>I24/((H24*0.95)*6)</f>
        <v>12.320574162679426</v>
      </c>
    </row>
    <row r="25" spans="1:17" ht="12.75">
      <c r="A25" s="128" t="s">
        <v>115</v>
      </c>
      <c r="B25" s="115" t="s">
        <v>114</v>
      </c>
      <c r="C25" s="115">
        <v>7</v>
      </c>
      <c r="D25" s="115">
        <v>1</v>
      </c>
      <c r="E25" s="115"/>
      <c r="F25" s="115">
        <v>10</v>
      </c>
      <c r="G25" s="117">
        <f>(F25/6)</f>
        <v>1.6666666666666667</v>
      </c>
      <c r="H25" s="118">
        <f>SUM(C25:E25)+G25</f>
        <v>9.666666666666666</v>
      </c>
      <c r="I25" s="119">
        <f>473+457+64+38+36</f>
        <v>1068</v>
      </c>
      <c r="J25" s="115">
        <f>SUM(K25:M25)</f>
        <v>96</v>
      </c>
      <c r="K25" s="115">
        <f>15+4+2</f>
        <v>21</v>
      </c>
      <c r="L25" s="115">
        <f>13+1</f>
        <v>14</v>
      </c>
      <c r="M25" s="115">
        <f>48+13</f>
        <v>61</v>
      </c>
      <c r="N25" s="120">
        <f>M25/H25</f>
        <v>6.310344827586207</v>
      </c>
      <c r="O25" s="120">
        <f>J25/H25</f>
        <v>9.931034482758621</v>
      </c>
      <c r="P25" s="120">
        <f>(I25/8.5)/H25</f>
        <v>12.997971602434077</v>
      </c>
      <c r="Q25" s="129">
        <f>I25/((H25*0.95)*6)</f>
        <v>19.382940108892925</v>
      </c>
    </row>
    <row r="26" spans="1:17" ht="12.75">
      <c r="A26" s="128" t="s">
        <v>116</v>
      </c>
      <c r="B26" s="115" t="s">
        <v>114</v>
      </c>
      <c r="C26" s="115">
        <v>3</v>
      </c>
      <c r="D26" s="115">
        <v>3.5</v>
      </c>
      <c r="E26" s="115"/>
      <c r="F26" s="115">
        <v>4</v>
      </c>
      <c r="G26" s="117">
        <f>(F26/6)</f>
        <v>0.6666666666666666</v>
      </c>
      <c r="H26" s="118">
        <f>SUM(C26:E26)+G26</f>
        <v>7.166666666666667</v>
      </c>
      <c r="I26" s="119">
        <f>403+330+35+15+42</f>
        <v>825</v>
      </c>
      <c r="J26" s="115">
        <f>SUM(K26:M26)</f>
        <v>120</v>
      </c>
      <c r="K26" s="115">
        <f>23+2</f>
        <v>25</v>
      </c>
      <c r="L26" s="115">
        <f>28+4</f>
        <v>32</v>
      </c>
      <c r="M26" s="115">
        <f>49+14</f>
        <v>63</v>
      </c>
      <c r="N26" s="120">
        <f>M26/H26</f>
        <v>8.790697674418604</v>
      </c>
      <c r="O26" s="120">
        <f>J26/H26</f>
        <v>16.744186046511626</v>
      </c>
      <c r="P26" s="120">
        <f>(I26/8.5)/H26</f>
        <v>13.543091655266759</v>
      </c>
      <c r="Q26" s="129">
        <f>I26/((H26*0.95)*6)</f>
        <v>20.195838433292533</v>
      </c>
    </row>
    <row r="27" spans="1:17" ht="13.5" thickBot="1">
      <c r="A27" s="130" t="s">
        <v>117</v>
      </c>
      <c r="B27" s="132" t="s">
        <v>114</v>
      </c>
      <c r="C27" s="132">
        <v>6</v>
      </c>
      <c r="D27" s="132"/>
      <c r="E27" s="132"/>
      <c r="F27" s="132">
        <v>3</v>
      </c>
      <c r="G27" s="133">
        <f>(F27/6)</f>
        <v>0.5</v>
      </c>
      <c r="H27" s="134">
        <f>SUM(C27:E27)+G27</f>
        <v>6.5</v>
      </c>
      <c r="I27" s="135">
        <f>329+371+43+35+11</f>
        <v>789</v>
      </c>
      <c r="J27" s="132">
        <f>SUM(K27:M27)</f>
        <v>53</v>
      </c>
      <c r="K27" s="132">
        <f>3+1</f>
        <v>4</v>
      </c>
      <c r="L27" s="132">
        <f>5+6</f>
        <v>11</v>
      </c>
      <c r="M27" s="132">
        <f>24+14</f>
        <v>38</v>
      </c>
      <c r="N27" s="136">
        <f>M27/H27</f>
        <v>5.846153846153846</v>
      </c>
      <c r="O27" s="136">
        <f>J27/H27</f>
        <v>8.153846153846153</v>
      </c>
      <c r="P27" s="136">
        <f>(I27/8.5)/H27</f>
        <v>14.28054298642534</v>
      </c>
      <c r="Q27" s="137">
        <f>I27/((H27*0.95)*6)</f>
        <v>21.295546558704455</v>
      </c>
    </row>
    <row r="28" spans="1:17" ht="13.5" thickBot="1">
      <c r="A28" s="55"/>
      <c r="B28" s="43"/>
      <c r="C28" s="44"/>
      <c r="D28" s="44"/>
      <c r="E28" s="44"/>
      <c r="F28" s="44"/>
      <c r="G28" s="50"/>
      <c r="H28" s="51"/>
      <c r="I28" s="52"/>
      <c r="J28" s="57"/>
      <c r="K28" s="57"/>
      <c r="L28" s="57"/>
      <c r="M28" s="57"/>
      <c r="N28" s="53"/>
      <c r="O28" s="53"/>
      <c r="P28" s="53"/>
      <c r="Q28" s="54"/>
    </row>
    <row r="29" spans="1:17" ht="13.5" thickBot="1">
      <c r="A29" s="138" t="s">
        <v>118</v>
      </c>
      <c r="B29" s="95"/>
      <c r="C29" s="140">
        <f>SUM(C9:C27)</f>
        <v>95</v>
      </c>
      <c r="D29" s="140">
        <f>SUM(D9:D27)</f>
        <v>20.16</v>
      </c>
      <c r="E29" s="140">
        <f>SUM(E9:E27)</f>
        <v>3</v>
      </c>
      <c r="F29" s="140"/>
      <c r="G29" s="97">
        <f>SUM(G9:G27)</f>
        <v>14.166666666666666</v>
      </c>
      <c r="H29" s="141">
        <f>SUM(C29:G29)</f>
        <v>132.32666666666665</v>
      </c>
      <c r="I29" s="142">
        <f>SUM(I9:I27)</f>
        <v>14318</v>
      </c>
      <c r="J29" s="143">
        <f>SUM(J9:J27)</f>
        <v>1731</v>
      </c>
      <c r="K29" s="144">
        <f>SUM(K9:K27)</f>
        <v>387</v>
      </c>
      <c r="L29" s="144">
        <f>SUM(L9:L27)</f>
        <v>412</v>
      </c>
      <c r="M29" s="143">
        <f>SUM(M9:M27)</f>
        <v>932</v>
      </c>
      <c r="N29" s="160">
        <f>M29/H29</f>
        <v>7.043175978638723</v>
      </c>
      <c r="O29" s="160">
        <f>J29/H29</f>
        <v>13.081263539724924</v>
      </c>
      <c r="P29" s="160">
        <f>(I29/8.5)/H29</f>
        <v>12.729638180023887</v>
      </c>
      <c r="Q29" s="161">
        <f>I29/((H29*0.95)*6)</f>
        <v>18.982793777228608</v>
      </c>
    </row>
    <row r="30" spans="1:17" ht="13.5" thickBot="1">
      <c r="A30" s="69"/>
      <c r="C30" s="7"/>
      <c r="D30" s="7"/>
      <c r="E30" s="7"/>
      <c r="F30" s="7"/>
      <c r="G30" s="71"/>
      <c r="H30" s="72"/>
      <c r="I30" s="24"/>
      <c r="J30" s="73"/>
      <c r="K30" s="73"/>
      <c r="L30" s="73"/>
      <c r="M30" s="73"/>
      <c r="N30" s="74"/>
      <c r="O30" s="74"/>
      <c r="P30" s="74"/>
      <c r="Q30" s="74"/>
    </row>
    <row r="31" spans="1:17" ht="13.5" thickBot="1">
      <c r="A31" s="75" t="s">
        <v>119</v>
      </c>
      <c r="B31" s="76"/>
      <c r="C31" s="77"/>
      <c r="D31" s="77"/>
      <c r="E31" s="77"/>
      <c r="F31" s="77"/>
      <c r="G31" s="78"/>
      <c r="H31" s="77"/>
      <c r="I31" s="78"/>
      <c r="J31" s="79"/>
      <c r="K31" s="79"/>
      <c r="L31" s="79"/>
      <c r="M31" s="79"/>
      <c r="N31" s="80"/>
      <c r="O31" s="80"/>
      <c r="P31" s="80"/>
      <c r="Q31" s="81"/>
    </row>
    <row r="32" spans="1:17" ht="12.75">
      <c r="A32" s="168" t="s">
        <v>120</v>
      </c>
      <c r="B32" s="10"/>
      <c r="C32" s="125">
        <v>5</v>
      </c>
      <c r="D32" s="125"/>
      <c r="E32" s="125"/>
      <c r="F32" s="125">
        <v>5.25</v>
      </c>
      <c r="G32" s="169">
        <f>(F32/6)</f>
        <v>0.875</v>
      </c>
      <c r="H32" s="170">
        <f>SUM(C32:E32)+G32</f>
        <v>5.875</v>
      </c>
      <c r="I32" s="171">
        <f>176+185+67</f>
        <v>428</v>
      </c>
      <c r="J32" s="125">
        <f>SUM(K32:M32)</f>
        <v>36</v>
      </c>
      <c r="K32" s="125">
        <v>5</v>
      </c>
      <c r="L32" s="125">
        <v>9</v>
      </c>
      <c r="M32" s="125">
        <v>22</v>
      </c>
      <c r="N32" s="172">
        <f>M32/H32</f>
        <v>3.74468085106383</v>
      </c>
      <c r="O32" s="172">
        <f>J32/H32</f>
        <v>6.127659574468085</v>
      </c>
      <c r="P32" s="172">
        <f>(I32/8.5)/H32</f>
        <v>8.570713391739675</v>
      </c>
      <c r="Q32" s="173">
        <f>I32/((H32*0.95)*6)</f>
        <v>12.780888391190745</v>
      </c>
    </row>
    <row r="33" spans="1:17" ht="12.75">
      <c r="A33" s="174" t="s">
        <v>121</v>
      </c>
      <c r="B33" s="17"/>
      <c r="C33" s="115">
        <v>17</v>
      </c>
      <c r="D33" s="115"/>
      <c r="E33" s="115"/>
      <c r="F33" s="199">
        <f>28.18+21.69+45.75</f>
        <v>95.62</v>
      </c>
      <c r="G33" s="117">
        <f>(F33/6)</f>
        <v>15.936666666666667</v>
      </c>
      <c r="H33" s="118">
        <f>SUM(C33:E33)+G33</f>
        <v>32.93666666666667</v>
      </c>
      <c r="I33" s="167">
        <f>728.75+691.5+149</f>
        <v>1569.25</v>
      </c>
      <c r="J33" s="115">
        <f>SUM(K33:M33)</f>
        <v>207</v>
      </c>
      <c r="K33" s="115">
        <f>49+2</f>
        <v>51</v>
      </c>
      <c r="L33" s="115">
        <f>40+10</f>
        <v>50</v>
      </c>
      <c r="M33" s="115">
        <f>87+19</f>
        <v>106</v>
      </c>
      <c r="N33" s="120">
        <f>M33/H33</f>
        <v>3.2182977431434066</v>
      </c>
      <c r="O33" s="120">
        <f>J33/H33</f>
        <v>6.284788988968728</v>
      </c>
      <c r="P33" s="120">
        <f>(I33/8.5)/H33</f>
        <v>5.6052316686212995</v>
      </c>
      <c r="Q33" s="129">
        <f>I33/((H33*0.95)*6)</f>
        <v>8.358678804084393</v>
      </c>
    </row>
    <row r="34" spans="1:17" ht="12.75">
      <c r="A34" s="174" t="s">
        <v>122</v>
      </c>
      <c r="B34" s="17"/>
      <c r="C34" s="115">
        <v>7</v>
      </c>
      <c r="D34" s="115"/>
      <c r="E34" s="115">
        <v>1</v>
      </c>
      <c r="F34" s="115">
        <v>27.67</v>
      </c>
      <c r="G34" s="117">
        <f>(F34/6)</f>
        <v>4.611666666666667</v>
      </c>
      <c r="H34" s="118">
        <f>SUM(C34:E34)+G34</f>
        <v>12.611666666666668</v>
      </c>
      <c r="I34" s="166">
        <f>214.5+205+83+117+64</f>
        <v>683.5</v>
      </c>
      <c r="J34" s="115">
        <f>SUM(K34:M34)</f>
        <v>108</v>
      </c>
      <c r="K34" s="115">
        <v>25</v>
      </c>
      <c r="L34" s="115">
        <v>27</v>
      </c>
      <c r="M34" s="115">
        <v>56</v>
      </c>
      <c r="N34" s="120">
        <f>M34/H34</f>
        <v>4.440333024976873</v>
      </c>
      <c r="O34" s="120">
        <f>J34/H34</f>
        <v>8.563499405312541</v>
      </c>
      <c r="P34" s="120">
        <f>(I34/8.5)/H34</f>
        <v>6.375982400360698</v>
      </c>
      <c r="Q34" s="129">
        <f>I34/((H34*0.95)*6)</f>
        <v>9.508043930362446</v>
      </c>
    </row>
    <row r="35" spans="1:17" ht="27" thickBot="1">
      <c r="A35" s="175" t="s">
        <v>19</v>
      </c>
      <c r="B35" s="176"/>
      <c r="C35" s="132">
        <v>5.5</v>
      </c>
      <c r="D35" s="132">
        <v>2</v>
      </c>
      <c r="E35" s="132">
        <f>1</f>
        <v>1</v>
      </c>
      <c r="F35" s="200">
        <f>21.5+5.72+13.08</f>
        <v>40.3</v>
      </c>
      <c r="G35" s="133">
        <f>(F35/6)</f>
        <v>6.716666666666666</v>
      </c>
      <c r="H35" s="134">
        <f>SUM(C35:E35)+G35</f>
        <v>15.216666666666665</v>
      </c>
      <c r="I35" s="177">
        <f>54.25+258+27.25+297+148+11+12</f>
        <v>807.5</v>
      </c>
      <c r="J35" s="132">
        <f>SUM(K35:M35)</f>
        <v>108</v>
      </c>
      <c r="K35" s="132">
        <f>24+3</f>
        <v>27</v>
      </c>
      <c r="L35" s="132">
        <f>17+2</f>
        <v>19</v>
      </c>
      <c r="M35" s="132">
        <f>59+3</f>
        <v>62</v>
      </c>
      <c r="N35" s="136">
        <f>M35/H35</f>
        <v>4.07447973713034</v>
      </c>
      <c r="O35" s="136">
        <f>J35/H35</f>
        <v>7.097480832420592</v>
      </c>
      <c r="P35" s="136">
        <f>(I35/8.5)/H35</f>
        <v>6.243154435925521</v>
      </c>
      <c r="Q35" s="137">
        <f>I35/((H35*0.95)*6)</f>
        <v>9.309967141292445</v>
      </c>
    </row>
    <row r="36" spans="1:17" ht="13.5" thickBot="1">
      <c r="A36" s="82"/>
      <c r="B36" s="43"/>
      <c r="C36" s="44"/>
      <c r="D36" s="44"/>
      <c r="E36" s="44"/>
      <c r="F36" s="44"/>
      <c r="G36" s="50"/>
      <c r="H36" s="51"/>
      <c r="I36" s="87"/>
      <c r="J36" s="57"/>
      <c r="K36" s="57"/>
      <c r="L36" s="57"/>
      <c r="M36" s="57"/>
      <c r="N36" s="53"/>
      <c r="O36" s="53"/>
      <c r="P36" s="53"/>
      <c r="Q36" s="54"/>
    </row>
    <row r="37" spans="1:17" ht="13.5" thickBot="1">
      <c r="A37" s="145" t="s">
        <v>124</v>
      </c>
      <c r="B37" s="146"/>
      <c r="C37" s="147">
        <f>SUM(C32:C35)</f>
        <v>34.5</v>
      </c>
      <c r="D37" s="147"/>
      <c r="E37" s="147">
        <f>SUM(E32:E35)</f>
        <v>2</v>
      </c>
      <c r="F37" s="147"/>
      <c r="G37" s="148">
        <f>SUM(G32:G35)</f>
        <v>28.14</v>
      </c>
      <c r="H37" s="149">
        <f>SUM(C37:G37)</f>
        <v>64.64</v>
      </c>
      <c r="I37" s="150">
        <f>SUM(I32:I35)</f>
        <v>3488.25</v>
      </c>
      <c r="J37" s="151">
        <f>SUM(J32:J35)</f>
        <v>459</v>
      </c>
      <c r="K37" s="151">
        <f>SUM(K32:K35)</f>
        <v>108</v>
      </c>
      <c r="L37" s="151">
        <f>SUM(L32:L35)</f>
        <v>105</v>
      </c>
      <c r="M37" s="151">
        <f>SUM(M32:M35)</f>
        <v>246</v>
      </c>
      <c r="N37" s="162">
        <f>M37/H37</f>
        <v>3.8056930693069306</v>
      </c>
      <c r="O37" s="162">
        <f>J37/H37</f>
        <v>7.100866336633663</v>
      </c>
      <c r="P37" s="162">
        <f>(I37/8.5)/H37</f>
        <v>6.348736895748398</v>
      </c>
      <c r="Q37" s="163">
        <f>I37/((H37*0.95)*6)</f>
        <v>9.46741466909849</v>
      </c>
    </row>
    <row r="38" spans="3:17" ht="13.5" thickBot="1">
      <c r="C38" s="7"/>
      <c r="D38" s="7"/>
      <c r="E38" s="7"/>
      <c r="F38" s="7"/>
      <c r="G38" s="24"/>
      <c r="H38" s="7"/>
      <c r="I38" s="24"/>
      <c r="J38" s="73"/>
      <c r="K38" s="73"/>
      <c r="L38" s="73"/>
      <c r="M38" s="73"/>
      <c r="N38" s="164"/>
      <c r="O38" s="165"/>
      <c r="P38" s="164"/>
      <c r="Q38" s="164"/>
    </row>
    <row r="39" spans="1:17" ht="13.5" thickBot="1">
      <c r="A39" s="145" t="s">
        <v>125</v>
      </c>
      <c r="B39" s="146"/>
      <c r="C39" s="152">
        <f>C29+C37</f>
        <v>129.5</v>
      </c>
      <c r="D39" s="152">
        <f>D29+D37</f>
        <v>20.16</v>
      </c>
      <c r="E39" s="152">
        <f>E29+E37</f>
        <v>5</v>
      </c>
      <c r="F39" s="152"/>
      <c r="G39" s="153">
        <f aca="true" t="shared" si="0" ref="G39:M39">G29+G37</f>
        <v>42.306666666666665</v>
      </c>
      <c r="H39" s="153">
        <f t="shared" si="0"/>
        <v>196.96666666666664</v>
      </c>
      <c r="I39" s="153">
        <f t="shared" si="0"/>
        <v>17806.25</v>
      </c>
      <c r="J39" s="154">
        <f t="shared" si="0"/>
        <v>2190</v>
      </c>
      <c r="K39" s="154">
        <f t="shared" si="0"/>
        <v>495</v>
      </c>
      <c r="L39" s="154">
        <f t="shared" si="0"/>
        <v>517</v>
      </c>
      <c r="M39" s="154">
        <f t="shared" si="0"/>
        <v>1178</v>
      </c>
      <c r="N39" s="162">
        <f>M39/H39</f>
        <v>5.980707395498393</v>
      </c>
      <c r="O39" s="162">
        <f>J39/H39</f>
        <v>11.118632594347607</v>
      </c>
      <c r="P39" s="162">
        <f>(I39/8.5)/H39</f>
        <v>10.635570863986144</v>
      </c>
      <c r="Q39" s="163">
        <f>I39/((H39*0.95)*6)</f>
        <v>15.86006181471618</v>
      </c>
    </row>
    <row r="40" spans="3:15" ht="12.75">
      <c r="C40" s="7"/>
      <c r="D40" s="7"/>
      <c r="E40" s="7"/>
      <c r="F40" s="7"/>
      <c r="G40" s="7"/>
      <c r="H40" s="7"/>
      <c r="M40" s="7"/>
      <c r="N40" s="7"/>
      <c r="O40" s="7"/>
    </row>
    <row r="41" spans="1:17" ht="12.75">
      <c r="A41" s="182" t="s">
        <v>126</v>
      </c>
      <c r="B41" s="183"/>
      <c r="C41" s="184"/>
      <c r="D41" s="184"/>
      <c r="E41" s="184"/>
      <c r="F41" s="184"/>
      <c r="G41" s="184"/>
      <c r="H41" s="184"/>
      <c r="I41" s="184"/>
      <c r="J41" s="184"/>
      <c r="K41" s="184"/>
      <c r="L41" s="184"/>
      <c r="M41" s="184"/>
      <c r="N41" s="184"/>
      <c r="O41" s="184"/>
      <c r="P41" s="184"/>
      <c r="Q41" s="185"/>
    </row>
    <row r="42" spans="1:17" ht="15" customHeight="1">
      <c r="A42" s="186" t="s">
        <v>5</v>
      </c>
      <c r="B42" s="187"/>
      <c r="C42" s="57"/>
      <c r="D42" s="57"/>
      <c r="E42" s="57"/>
      <c r="F42" s="57"/>
      <c r="G42" s="57"/>
      <c r="H42" s="57"/>
      <c r="I42" s="57"/>
      <c r="J42" s="57"/>
      <c r="K42" s="57"/>
      <c r="L42" s="57"/>
      <c r="M42" s="57"/>
      <c r="N42" s="57"/>
      <c r="O42" s="57"/>
      <c r="P42" s="57"/>
      <c r="Q42" s="188"/>
    </row>
    <row r="43" spans="1:17" ht="30" customHeight="1">
      <c r="A43" s="212" t="s">
        <v>17</v>
      </c>
      <c r="B43" s="213"/>
      <c r="C43" s="213"/>
      <c r="D43" s="213"/>
      <c r="E43" s="213"/>
      <c r="F43" s="213"/>
      <c r="G43" s="213"/>
      <c r="H43" s="213"/>
      <c r="I43" s="213"/>
      <c r="J43" s="213"/>
      <c r="K43" s="213"/>
      <c r="L43" s="213"/>
      <c r="M43" s="213"/>
      <c r="N43" s="213"/>
      <c r="O43" s="213"/>
      <c r="P43" s="213"/>
      <c r="Q43" s="214"/>
    </row>
    <row r="44" spans="1:17" ht="15" customHeight="1">
      <c r="A44" s="186" t="s">
        <v>15</v>
      </c>
      <c r="B44" s="194"/>
      <c r="C44" s="194"/>
      <c r="D44" s="194"/>
      <c r="E44" s="194"/>
      <c r="F44" s="194"/>
      <c r="G44" s="194"/>
      <c r="H44" s="194"/>
      <c r="I44" s="194"/>
      <c r="J44" s="194"/>
      <c r="K44" s="194"/>
      <c r="L44" s="194"/>
      <c r="M44" s="194"/>
      <c r="N44" s="194"/>
      <c r="O44" s="194"/>
      <c r="P44" s="194"/>
      <c r="Q44" s="195"/>
    </row>
    <row r="45" spans="1:17" ht="27" customHeight="1">
      <c r="A45" s="212" t="s">
        <v>18</v>
      </c>
      <c r="B45" s="213"/>
      <c r="C45" s="213"/>
      <c r="D45" s="213"/>
      <c r="E45" s="213"/>
      <c r="F45" s="213"/>
      <c r="G45" s="213"/>
      <c r="H45" s="213"/>
      <c r="I45" s="213"/>
      <c r="J45" s="213"/>
      <c r="K45" s="213"/>
      <c r="L45" s="213"/>
      <c r="M45" s="213"/>
      <c r="N45" s="213"/>
      <c r="O45" s="213"/>
      <c r="P45" s="213"/>
      <c r="Q45" s="214"/>
    </row>
    <row r="46" spans="1:17" ht="42" customHeight="1">
      <c r="A46" s="212" t="s">
        <v>4</v>
      </c>
      <c r="B46" s="213"/>
      <c r="C46" s="213"/>
      <c r="D46" s="213"/>
      <c r="E46" s="213"/>
      <c r="F46" s="213"/>
      <c r="G46" s="213"/>
      <c r="H46" s="213"/>
      <c r="I46" s="213"/>
      <c r="J46" s="213"/>
      <c r="K46" s="213"/>
      <c r="L46" s="213"/>
      <c r="M46" s="213"/>
      <c r="N46" s="213"/>
      <c r="O46" s="213"/>
      <c r="P46" s="213"/>
      <c r="Q46" s="214"/>
    </row>
    <row r="47" spans="1:17" ht="15" customHeight="1">
      <c r="A47" s="186" t="s">
        <v>16</v>
      </c>
      <c r="B47" s="194"/>
      <c r="C47" s="194"/>
      <c r="D47" s="194"/>
      <c r="E47" s="194"/>
      <c r="F47" s="194"/>
      <c r="G47" s="194"/>
      <c r="H47" s="194"/>
      <c r="I47" s="194"/>
      <c r="J47" s="194"/>
      <c r="K47" s="194"/>
      <c r="L47" s="194"/>
      <c r="M47" s="194"/>
      <c r="N47" s="194"/>
      <c r="O47" s="194"/>
      <c r="P47" s="194"/>
      <c r="Q47" s="195"/>
    </row>
    <row r="48" spans="1:17" ht="12.75">
      <c r="A48" s="186" t="s">
        <v>7</v>
      </c>
      <c r="B48" s="187"/>
      <c r="C48" s="187"/>
      <c r="D48" s="187"/>
      <c r="E48" s="187"/>
      <c r="F48" s="187"/>
      <c r="G48" s="187"/>
      <c r="H48" s="187"/>
      <c r="I48" s="57"/>
      <c r="J48" s="57"/>
      <c r="K48" s="57"/>
      <c r="L48" s="57"/>
      <c r="M48" s="187"/>
      <c r="N48" s="187"/>
      <c r="O48" s="187"/>
      <c r="P48" s="57"/>
      <c r="Q48" s="188"/>
    </row>
    <row r="49" spans="1:17" ht="12.75">
      <c r="A49" s="189" t="s">
        <v>60</v>
      </c>
      <c r="B49" s="190"/>
      <c r="C49" s="190"/>
      <c r="D49" s="190"/>
      <c r="E49" s="190"/>
      <c r="F49" s="190"/>
      <c r="G49" s="190"/>
      <c r="H49" s="190"/>
      <c r="I49" s="190"/>
      <c r="J49" s="190"/>
      <c r="K49" s="190"/>
      <c r="L49" s="190"/>
      <c r="M49" s="190"/>
      <c r="N49" s="190"/>
      <c r="O49" s="190"/>
      <c r="P49" s="190"/>
      <c r="Q49" s="191"/>
    </row>
    <row r="50" spans="1:17" ht="27" customHeight="1">
      <c r="A50" s="212" t="s">
        <v>0</v>
      </c>
      <c r="B50" s="213"/>
      <c r="C50" s="213"/>
      <c r="D50" s="213"/>
      <c r="E50" s="213"/>
      <c r="F50" s="213"/>
      <c r="G50" s="213"/>
      <c r="H50" s="213"/>
      <c r="I50" s="213"/>
      <c r="J50" s="213"/>
      <c r="K50" s="213"/>
      <c r="L50" s="213"/>
      <c r="M50" s="213"/>
      <c r="N50" s="213"/>
      <c r="O50" s="213"/>
      <c r="P50" s="213"/>
      <c r="Q50" s="214"/>
    </row>
    <row r="51" spans="1:17" ht="12.75">
      <c r="A51" s="186" t="s">
        <v>55</v>
      </c>
      <c r="B51" s="187"/>
      <c r="C51" s="187"/>
      <c r="D51" s="187"/>
      <c r="E51" s="187"/>
      <c r="F51" s="187"/>
      <c r="G51" s="187"/>
      <c r="H51" s="187"/>
      <c r="I51" s="57"/>
      <c r="J51" s="57"/>
      <c r="K51" s="57"/>
      <c r="L51" s="57"/>
      <c r="M51" s="187"/>
      <c r="N51" s="187"/>
      <c r="O51" s="187"/>
      <c r="P51" s="57"/>
      <c r="Q51" s="188"/>
    </row>
    <row r="52" spans="1:17" ht="25.5" customHeight="1">
      <c r="A52" s="212"/>
      <c r="B52" s="213"/>
      <c r="C52" s="213"/>
      <c r="D52" s="213"/>
      <c r="E52" s="213"/>
      <c r="F52" s="213"/>
      <c r="G52" s="213"/>
      <c r="H52" s="213"/>
      <c r="I52" s="213"/>
      <c r="J52" s="213"/>
      <c r="K52" s="213"/>
      <c r="L52" s="213"/>
      <c r="M52" s="213"/>
      <c r="N52" s="213"/>
      <c r="O52" s="213"/>
      <c r="P52" s="213"/>
      <c r="Q52" s="214"/>
    </row>
    <row r="53" spans="1:17" ht="18" customHeight="1">
      <c r="A53" s="212"/>
      <c r="B53" s="213"/>
      <c r="C53" s="213"/>
      <c r="D53" s="213"/>
      <c r="E53" s="213"/>
      <c r="F53" s="213"/>
      <c r="G53" s="213"/>
      <c r="H53" s="213"/>
      <c r="I53" s="213"/>
      <c r="J53" s="213"/>
      <c r="K53" s="213"/>
      <c r="L53" s="213"/>
      <c r="M53" s="213"/>
      <c r="N53" s="213"/>
      <c r="O53" s="213"/>
      <c r="P53" s="213"/>
      <c r="Q53" s="214"/>
    </row>
    <row r="54" spans="1:17" ht="12.75">
      <c r="A54" s="178"/>
      <c r="B54" s="179"/>
      <c r="C54" s="179"/>
      <c r="D54" s="179"/>
      <c r="E54" s="179"/>
      <c r="F54" s="179"/>
      <c r="G54" s="179"/>
      <c r="H54" s="179"/>
      <c r="I54" s="180"/>
      <c r="J54" s="180"/>
      <c r="K54" s="180"/>
      <c r="L54" s="180"/>
      <c r="M54" s="179"/>
      <c r="N54" s="179"/>
      <c r="O54" s="179"/>
      <c r="P54" s="180"/>
      <c r="Q54" s="181"/>
    </row>
    <row r="55" spans="1:11" ht="12.75">
      <c r="A55" s="100"/>
      <c r="F55" s="201" t="s">
        <v>42</v>
      </c>
      <c r="G55" s="105"/>
      <c r="H55" s="105"/>
      <c r="I55" s="105"/>
      <c r="J55" s="105"/>
      <c r="K55" s="106"/>
    </row>
    <row r="56" spans="6:11" ht="12.75">
      <c r="F56" s="202" t="s">
        <v>1</v>
      </c>
      <c r="G56" s="105"/>
      <c r="H56" s="105"/>
      <c r="I56" s="105"/>
      <c r="J56" s="105"/>
      <c r="K56" s="106"/>
    </row>
    <row r="57" spans="6:11" ht="12.75">
      <c r="F57" s="201"/>
      <c r="G57" s="105"/>
      <c r="H57" s="105"/>
      <c r="I57" s="105"/>
      <c r="J57" s="105"/>
      <c r="K57" s="106"/>
    </row>
    <row r="58" spans="6:11" ht="12.75">
      <c r="F58" s="17"/>
      <c r="G58" s="107" t="s">
        <v>44</v>
      </c>
      <c r="H58" s="108">
        <v>8882</v>
      </c>
      <c r="I58" s="109"/>
      <c r="J58" s="105"/>
      <c r="K58" s="106"/>
    </row>
    <row r="59" spans="6:11" ht="12.75">
      <c r="F59" s="17"/>
      <c r="G59" s="107" t="s">
        <v>45</v>
      </c>
      <c r="H59" s="108">
        <v>8284.125</v>
      </c>
      <c r="I59" s="109"/>
      <c r="J59" s="105"/>
      <c r="K59" s="106"/>
    </row>
    <row r="60" spans="6:11" ht="12.75">
      <c r="F60" s="17"/>
      <c r="G60" s="107" t="s">
        <v>46</v>
      </c>
      <c r="H60" s="108">
        <v>1310.125</v>
      </c>
      <c r="I60" s="109"/>
      <c r="J60" s="105"/>
      <c r="K60" s="106"/>
    </row>
    <row r="61" spans="6:11" ht="12.75">
      <c r="F61" s="17"/>
      <c r="G61" s="107"/>
      <c r="H61" s="108">
        <f>SUM(H58:H60)</f>
        <v>18476.25</v>
      </c>
      <c r="I61" s="109"/>
      <c r="J61" s="105"/>
      <c r="K61" s="106"/>
    </row>
    <row r="62" spans="6:11" ht="23.25" customHeight="1">
      <c r="F62" s="207" t="s">
        <v>47</v>
      </c>
      <c r="G62" s="207"/>
      <c r="H62" s="108">
        <f>6.25+10+26+21</f>
        <v>63.25</v>
      </c>
      <c r="I62" s="109"/>
      <c r="J62" s="105"/>
      <c r="K62" s="106"/>
    </row>
    <row r="63" spans="6:11" ht="46.5" customHeight="1">
      <c r="F63" s="208" t="s">
        <v>3</v>
      </c>
      <c r="G63" s="207"/>
      <c r="H63" s="108">
        <f>80+34+19+12+26+12+25</f>
        <v>208</v>
      </c>
      <c r="I63" s="109"/>
      <c r="J63" s="105"/>
      <c r="K63" s="106"/>
    </row>
    <row r="64" spans="6:11" ht="12.75">
      <c r="F64" s="17"/>
      <c r="G64" s="197" t="s">
        <v>2</v>
      </c>
      <c r="H64" s="108">
        <f>208+172.875-15.125</f>
        <v>365.75</v>
      </c>
      <c r="I64" s="109"/>
      <c r="J64" s="105"/>
      <c r="K64" s="106"/>
    </row>
    <row r="65" spans="6:11" ht="12.75">
      <c r="F65" s="17"/>
      <c r="G65" s="107"/>
      <c r="H65" s="108">
        <f>(H61-H62-H63-H64)</f>
        <v>17839.25</v>
      </c>
      <c r="I65" s="111"/>
      <c r="J65" s="112"/>
      <c r="K65" s="113"/>
    </row>
  </sheetData>
  <sheetProtection/>
  <mergeCells count="10">
    <mergeCell ref="J2:Q2"/>
    <mergeCell ref="F62:G62"/>
    <mergeCell ref="F63:G63"/>
    <mergeCell ref="J3:Q3"/>
    <mergeCell ref="A43:Q43"/>
    <mergeCell ref="A50:Q50"/>
    <mergeCell ref="A52:Q52"/>
    <mergeCell ref="A53:Q53"/>
    <mergeCell ref="A45:Q45"/>
    <mergeCell ref="A46:Q46"/>
  </mergeCells>
  <printOptions horizontalCentered="1" verticalCentered="1"/>
  <pageMargins left="0.08" right="0.45" top="0.51" bottom="0.25" header="0.5" footer="0.25"/>
  <pageSetup orientation="landscape" scale="79"/>
  <rowBreaks count="1" manualBreakCount="1">
    <brk id="39" max="17" man="1"/>
  </rowBreaks>
</worksheet>
</file>

<file path=xl/worksheets/sheet2.xml><?xml version="1.0" encoding="utf-8"?>
<worksheet xmlns="http://schemas.openxmlformats.org/spreadsheetml/2006/main" xmlns:r="http://schemas.openxmlformats.org/officeDocument/2006/relationships">
  <sheetPr>
    <tabColor indexed="43"/>
  </sheetPr>
  <dimension ref="A1:Q62"/>
  <sheetViews>
    <sheetView zoomScalePageLayoutView="0" workbookViewId="0" topLeftCell="A28">
      <selection activeCell="A11" sqref="A11"/>
    </sheetView>
  </sheetViews>
  <sheetFormatPr defaultColWidth="11.50390625" defaultRowHeight="12"/>
  <cols>
    <col min="1" max="1" width="28.50390625" style="3" customWidth="1"/>
    <col min="2" max="2" width="3.625" style="3" customWidth="1"/>
    <col min="3" max="3" width="8.50390625" style="3" customWidth="1"/>
    <col min="4" max="4" width="8.875" style="3" customWidth="1"/>
    <col min="5" max="5" width="8.50390625" style="3" customWidth="1"/>
    <col min="6" max="6" width="9.625" style="3" customWidth="1"/>
    <col min="7" max="7" width="9.50390625" style="3" customWidth="1"/>
    <col min="8" max="8" width="10.875" style="3" customWidth="1"/>
    <col min="9" max="9" width="10.125" style="7" customWidth="1"/>
    <col min="10" max="10" width="8.50390625" style="7" customWidth="1"/>
    <col min="11" max="11" width="8.00390625" style="7" customWidth="1"/>
    <col min="12" max="12" width="7.875" style="7" customWidth="1"/>
    <col min="13" max="13" width="7.625" style="3" customWidth="1"/>
    <col min="14" max="14" width="11.50390625" style="3" customWidth="1"/>
    <col min="15" max="15" width="10.625" style="3" customWidth="1"/>
    <col min="16" max="17" width="10.125" style="7" customWidth="1"/>
    <col min="18" max="16384" width="11.50390625" style="3" customWidth="1"/>
  </cols>
  <sheetData>
    <row r="1" spans="1:7" ht="25.5" thickBot="1">
      <c r="A1" s="1"/>
      <c r="C1" s="4"/>
      <c r="D1" s="5"/>
      <c r="G1" s="6" t="s">
        <v>31</v>
      </c>
    </row>
    <row r="2" spans="1:17" ht="12.75">
      <c r="A2" s="1" t="s">
        <v>30</v>
      </c>
      <c r="B2" s="8"/>
      <c r="C2" s="9"/>
      <c r="D2" s="10"/>
      <c r="E2" s="10"/>
      <c r="F2" s="10"/>
      <c r="G2" s="10"/>
      <c r="H2" s="10"/>
      <c r="I2" s="125"/>
      <c r="J2" s="204" t="s">
        <v>62</v>
      </c>
      <c r="K2" s="205"/>
      <c r="L2" s="205"/>
      <c r="M2" s="205"/>
      <c r="N2" s="205"/>
      <c r="O2" s="215"/>
      <c r="P2" s="156"/>
      <c r="Q2" s="14"/>
    </row>
    <row r="3" spans="1:17" ht="12.75">
      <c r="A3" s="1"/>
      <c r="B3" s="15"/>
      <c r="C3" s="16" t="s">
        <v>63</v>
      </c>
      <c r="D3" s="17"/>
      <c r="E3" s="17"/>
      <c r="F3" s="17"/>
      <c r="G3" s="17"/>
      <c r="H3" s="16" t="s">
        <v>64</v>
      </c>
      <c r="I3" s="155" t="s">
        <v>10</v>
      </c>
      <c r="J3" s="209" t="s">
        <v>11</v>
      </c>
      <c r="K3" s="210"/>
      <c r="L3" s="210"/>
      <c r="M3" s="210"/>
      <c r="N3" s="210"/>
      <c r="O3" s="158"/>
      <c r="P3" s="157"/>
      <c r="Q3" s="22"/>
    </row>
    <row r="4" spans="1:17" s="31" customFormat="1" ht="12.75">
      <c r="A4" s="23"/>
      <c r="B4" s="25"/>
      <c r="C4" s="26" t="s">
        <v>67</v>
      </c>
      <c r="D4" s="26" t="s">
        <v>68</v>
      </c>
      <c r="E4" s="26" t="s">
        <v>69</v>
      </c>
      <c r="F4" s="16" t="s">
        <v>70</v>
      </c>
      <c r="G4" s="16" t="s">
        <v>70</v>
      </c>
      <c r="H4" s="16" t="s">
        <v>71</v>
      </c>
      <c r="I4" s="16" t="s">
        <v>72</v>
      </c>
      <c r="J4" s="16" t="s">
        <v>73</v>
      </c>
      <c r="K4" s="16" t="s">
        <v>73</v>
      </c>
      <c r="L4" s="16" t="s">
        <v>73</v>
      </c>
      <c r="M4" s="16" t="s">
        <v>73</v>
      </c>
      <c r="N4" s="16" t="s">
        <v>74</v>
      </c>
      <c r="O4" s="28" t="s">
        <v>75</v>
      </c>
      <c r="P4" s="16" t="s">
        <v>76</v>
      </c>
      <c r="Q4" s="30" t="s">
        <v>77</v>
      </c>
    </row>
    <row r="5" spans="1:17" s="31" customFormat="1" ht="13.5" thickBot="1">
      <c r="A5" s="159" t="s">
        <v>78</v>
      </c>
      <c r="B5" s="34" t="s">
        <v>79</v>
      </c>
      <c r="C5" s="35" t="s">
        <v>80</v>
      </c>
      <c r="D5" s="35" t="s">
        <v>81</v>
      </c>
      <c r="E5" s="35" t="s">
        <v>82</v>
      </c>
      <c r="F5" s="37" t="s">
        <v>72</v>
      </c>
      <c r="G5" s="37" t="s">
        <v>83</v>
      </c>
      <c r="H5" s="37" t="s">
        <v>84</v>
      </c>
      <c r="I5" s="37" t="s">
        <v>85</v>
      </c>
      <c r="J5" s="37" t="s">
        <v>86</v>
      </c>
      <c r="K5" s="37" t="s">
        <v>87</v>
      </c>
      <c r="L5" s="37" t="s">
        <v>88</v>
      </c>
      <c r="M5" s="37" t="s">
        <v>89</v>
      </c>
      <c r="N5" s="37" t="s">
        <v>90</v>
      </c>
      <c r="O5" s="38" t="s">
        <v>90</v>
      </c>
      <c r="P5" s="37" t="s">
        <v>91</v>
      </c>
      <c r="Q5" s="40" t="s">
        <v>92</v>
      </c>
    </row>
    <row r="6" spans="1:17" ht="13.5" thickBot="1">
      <c r="A6" s="55"/>
      <c r="B6" s="43"/>
      <c r="C6" s="43"/>
      <c r="D6" s="43"/>
      <c r="E6" s="43"/>
      <c r="F6" s="43"/>
      <c r="G6" s="43"/>
      <c r="H6" s="43"/>
      <c r="I6" s="44"/>
      <c r="J6" s="44"/>
      <c r="K6" s="44"/>
      <c r="L6" s="44"/>
      <c r="M6" s="43"/>
      <c r="N6" s="43"/>
      <c r="O6" s="43"/>
      <c r="P6" s="44"/>
      <c r="Q6" s="45"/>
    </row>
    <row r="7" spans="1:17" ht="66">
      <c r="A7" s="121" t="s">
        <v>26</v>
      </c>
      <c r="B7" s="10"/>
      <c r="C7" s="123" t="s">
        <v>22</v>
      </c>
      <c r="D7" s="123" t="s">
        <v>22</v>
      </c>
      <c r="E7" s="123" t="s">
        <v>22</v>
      </c>
      <c r="F7" s="124" t="s">
        <v>23</v>
      </c>
      <c r="G7" s="125" t="s">
        <v>97</v>
      </c>
      <c r="H7" s="125" t="s">
        <v>97</v>
      </c>
      <c r="I7" s="124" t="s">
        <v>24</v>
      </c>
      <c r="J7" s="125" t="s">
        <v>97</v>
      </c>
      <c r="K7" s="124" t="s">
        <v>25</v>
      </c>
      <c r="L7" s="124" t="s">
        <v>25</v>
      </c>
      <c r="M7" s="124" t="s">
        <v>25</v>
      </c>
      <c r="N7" s="125" t="s">
        <v>97</v>
      </c>
      <c r="O7" s="125" t="s">
        <v>97</v>
      </c>
      <c r="P7" s="125" t="s">
        <v>97</v>
      </c>
      <c r="Q7" s="14" t="s">
        <v>97</v>
      </c>
    </row>
    <row r="8" spans="1:17" ht="12.75" customHeight="1">
      <c r="A8" s="126" t="s">
        <v>93</v>
      </c>
      <c r="B8" s="17"/>
      <c r="C8" s="17"/>
      <c r="D8" s="17"/>
      <c r="E8" s="17"/>
      <c r="F8" s="17"/>
      <c r="G8" s="17"/>
      <c r="H8" s="17"/>
      <c r="I8" s="115"/>
      <c r="J8" s="115"/>
      <c r="K8" s="115"/>
      <c r="L8" s="115"/>
      <c r="M8" s="17"/>
      <c r="N8" s="17"/>
      <c r="O8" s="17"/>
      <c r="P8" s="115"/>
      <c r="Q8" s="127"/>
    </row>
    <row r="9" spans="1:17" ht="12.75" customHeight="1">
      <c r="A9" s="128" t="s">
        <v>98</v>
      </c>
      <c r="B9" s="115" t="s">
        <v>99</v>
      </c>
      <c r="C9" s="115">
        <v>11.5</v>
      </c>
      <c r="D9" s="115"/>
      <c r="E9" s="115"/>
      <c r="F9" s="115">
        <v>17</v>
      </c>
      <c r="G9" s="117">
        <f>(F9/6)</f>
        <v>2.8333333333333335</v>
      </c>
      <c r="H9" s="118">
        <f>SUM(C9:E9)+G9</f>
        <v>14.333333333333334</v>
      </c>
      <c r="I9" s="119">
        <f>903+971+123+16</f>
        <v>2013</v>
      </c>
      <c r="J9" s="115">
        <f>SUM(K9:M9)</f>
        <v>454</v>
      </c>
      <c r="K9" s="115">
        <f>15+52+16+2+5</f>
        <v>90</v>
      </c>
      <c r="L9" s="115">
        <f>10+77+6+5+1+8+1</f>
        <v>108</v>
      </c>
      <c r="M9" s="115">
        <f>34+27+71+69+10+4+3+7+3+2+9+10+3+3+1</f>
        <v>256</v>
      </c>
      <c r="N9" s="120">
        <f>M9/H9</f>
        <v>17.86046511627907</v>
      </c>
      <c r="O9" s="120">
        <f>J9/H9</f>
        <v>31.674418604651162</v>
      </c>
      <c r="P9" s="120">
        <f>(I9/8.5)/H9</f>
        <v>16.522571819425444</v>
      </c>
      <c r="Q9" s="129">
        <f>I9/((H9*0.95)*6)</f>
        <v>24.63892288861689</v>
      </c>
    </row>
    <row r="10" spans="1:17" ht="12.75">
      <c r="A10" s="192" t="s">
        <v>33</v>
      </c>
      <c r="B10" s="115" t="s">
        <v>99</v>
      </c>
      <c r="C10" s="115">
        <v>3.5</v>
      </c>
      <c r="D10" s="115">
        <v>1</v>
      </c>
      <c r="E10" s="115"/>
      <c r="F10" s="115">
        <v>5</v>
      </c>
      <c r="G10" s="117">
        <f>(F10/6)</f>
        <v>0.8333333333333334</v>
      </c>
      <c r="H10" s="118">
        <f>SUM(C10:E10)+G10</f>
        <v>5.333333333333333</v>
      </c>
      <c r="I10" s="119">
        <f>367+283+76+16</f>
        <v>742</v>
      </c>
      <c r="J10" s="115">
        <f>SUM(K10:M10)</f>
        <v>55</v>
      </c>
      <c r="K10" s="115">
        <v>7</v>
      </c>
      <c r="L10" s="115">
        <f>12+3</f>
        <v>15</v>
      </c>
      <c r="M10" s="115">
        <f>11+8+5+9</f>
        <v>33</v>
      </c>
      <c r="N10" s="120">
        <f>M10/H10</f>
        <v>6.1875</v>
      </c>
      <c r="O10" s="120">
        <f>J10/H10</f>
        <v>10.3125</v>
      </c>
      <c r="P10" s="120">
        <f>(I10/8.5)/H10</f>
        <v>16.367647058823533</v>
      </c>
      <c r="Q10" s="129">
        <f>I10/((H10*0.95)*6)</f>
        <v>24.407894736842106</v>
      </c>
    </row>
    <row r="11" spans="1:17" ht="12.75">
      <c r="A11" s="128"/>
      <c r="B11" s="115"/>
      <c r="C11" s="115"/>
      <c r="D11" s="115"/>
      <c r="E11" s="115"/>
      <c r="F11" s="115"/>
      <c r="G11" s="117"/>
      <c r="H11" s="118"/>
      <c r="I11" s="119"/>
      <c r="J11" s="115"/>
      <c r="K11" s="115"/>
      <c r="L11" s="115"/>
      <c r="M11" s="115"/>
      <c r="N11" s="120"/>
      <c r="O11" s="120"/>
      <c r="P11" s="120"/>
      <c r="Q11" s="129"/>
    </row>
    <row r="12" spans="1:17" ht="12.75" customHeight="1">
      <c r="A12" s="192" t="s">
        <v>34</v>
      </c>
      <c r="B12" s="115" t="s">
        <v>102</v>
      </c>
      <c r="C12" s="115">
        <v>7.5</v>
      </c>
      <c r="D12" s="118">
        <v>2.67</v>
      </c>
      <c r="E12" s="115"/>
      <c r="F12" s="115">
        <v>2</v>
      </c>
      <c r="G12" s="117">
        <f>(F12/6)</f>
        <v>0.3333333333333333</v>
      </c>
      <c r="H12" s="118">
        <f>SUM(C12:E12)+G12</f>
        <v>10.503333333333334</v>
      </c>
      <c r="I12" s="119">
        <f>514+529+66+55+26</f>
        <v>1190</v>
      </c>
      <c r="J12" s="115">
        <f>SUM(K12:M12)</f>
        <v>165</v>
      </c>
      <c r="K12" s="115">
        <f>21+19+4+3</f>
        <v>47</v>
      </c>
      <c r="L12" s="115">
        <f>15+15+3+2</f>
        <v>35</v>
      </c>
      <c r="M12" s="115">
        <f>17+11+21+16+3+9+5+1</f>
        <v>83</v>
      </c>
      <c r="N12" s="120">
        <f>M12/H12</f>
        <v>7.902253252935576</v>
      </c>
      <c r="O12" s="120">
        <f>J12/H12</f>
        <v>15.709298635353855</v>
      </c>
      <c r="P12" s="120">
        <f>(I12/8.5)/H12</f>
        <v>13.329101872421452</v>
      </c>
      <c r="Q12" s="129">
        <f>I12/((H12*0.95)*6)</f>
        <v>19.876730862382868</v>
      </c>
    </row>
    <row r="13" spans="1:17" ht="12.75" customHeight="1">
      <c r="A13" s="128" t="s">
        <v>103</v>
      </c>
      <c r="B13" s="115" t="s">
        <v>102</v>
      </c>
      <c r="C13" s="115">
        <v>5.5</v>
      </c>
      <c r="D13" s="115"/>
      <c r="E13" s="115"/>
      <c r="F13" s="115">
        <v>12</v>
      </c>
      <c r="G13" s="117">
        <f>(F13/6)</f>
        <v>2</v>
      </c>
      <c r="H13" s="118">
        <f>SUM(C13:E13)+G13</f>
        <v>7.5</v>
      </c>
      <c r="I13" s="119">
        <f>367+279+22+16</f>
        <v>684</v>
      </c>
      <c r="J13" s="115">
        <f>SUM(K13:M13)</f>
        <v>61</v>
      </c>
      <c r="K13" s="115">
        <f>7+1</f>
        <v>8</v>
      </c>
      <c r="L13" s="115">
        <f>8+9</f>
        <v>17</v>
      </c>
      <c r="M13" s="115">
        <f>15+6+9+6</f>
        <v>36</v>
      </c>
      <c r="N13" s="120">
        <f>M13/H13</f>
        <v>4.8</v>
      </c>
      <c r="O13" s="120">
        <f>J13/H13</f>
        <v>8.133333333333333</v>
      </c>
      <c r="P13" s="120">
        <f>(I13/8.5)/H13</f>
        <v>10.729411764705882</v>
      </c>
      <c r="Q13" s="129">
        <f>I13/((H13*0.95)*6)</f>
        <v>16</v>
      </c>
    </row>
    <row r="14" spans="1:17" ht="12.75">
      <c r="A14" s="128" t="s">
        <v>104</v>
      </c>
      <c r="B14" s="115" t="s">
        <v>102</v>
      </c>
      <c r="C14" s="115">
        <v>6.5</v>
      </c>
      <c r="D14" s="115"/>
      <c r="E14" s="115"/>
      <c r="F14" s="115">
        <v>20.17</v>
      </c>
      <c r="G14" s="117">
        <f>(F14/6)</f>
        <v>3.361666666666667</v>
      </c>
      <c r="H14" s="118">
        <f>SUM(C14:E14)+G14</f>
        <v>9.861666666666666</v>
      </c>
      <c r="I14" s="119">
        <f>281+291-3+133+77+72+18</f>
        <v>869</v>
      </c>
      <c r="J14" s="115">
        <f>SUM(K14:M14)</f>
        <v>17</v>
      </c>
      <c r="K14" s="115">
        <f>1+1</f>
        <v>2</v>
      </c>
      <c r="L14" s="115">
        <f>1</f>
        <v>1</v>
      </c>
      <c r="M14" s="115">
        <f>1+3+5+4+1</f>
        <v>14</v>
      </c>
      <c r="N14" s="120">
        <f>M14/H14</f>
        <v>1.4196383302349165</v>
      </c>
      <c r="O14" s="120">
        <f>J14/H14</f>
        <v>1.7238465438566841</v>
      </c>
      <c r="P14" s="120">
        <f>(I14/8.5)/H14</f>
        <v>10.366938730875146</v>
      </c>
      <c r="Q14" s="129">
        <f>I14/((H14*0.95)*6)</f>
        <v>15.459470037269954</v>
      </c>
    </row>
    <row r="15" spans="1:17" ht="12.75">
      <c r="A15" s="192" t="s">
        <v>38</v>
      </c>
      <c r="B15" s="115" t="s">
        <v>102</v>
      </c>
      <c r="C15" s="115">
        <v>4</v>
      </c>
      <c r="D15" s="115">
        <v>1</v>
      </c>
      <c r="E15" s="115"/>
      <c r="F15" s="115">
        <v>3</v>
      </c>
      <c r="G15" s="117">
        <f>(F15/6)</f>
        <v>0.5</v>
      </c>
      <c r="H15" s="118">
        <f>SUM(C15:E15)+G15</f>
        <v>5.5</v>
      </c>
      <c r="I15" s="119">
        <f>297+298+55+16</f>
        <v>666</v>
      </c>
      <c r="J15" s="115">
        <f>SUM(K15:M15)</f>
        <v>22</v>
      </c>
      <c r="K15" s="115">
        <v>2</v>
      </c>
      <c r="L15" s="115">
        <f>3+3</f>
        <v>6</v>
      </c>
      <c r="M15" s="115">
        <f>4+6+3+1</f>
        <v>14</v>
      </c>
      <c r="N15" s="120">
        <f>M15/H15</f>
        <v>2.5454545454545454</v>
      </c>
      <c r="O15" s="120">
        <f>J15/H15</f>
        <v>4</v>
      </c>
      <c r="P15" s="120">
        <f>(I15/8.5)/H15</f>
        <v>14.245989304812836</v>
      </c>
      <c r="Q15" s="129">
        <f>I15/((H15*0.95)*6)</f>
        <v>21.24401913875598</v>
      </c>
    </row>
    <row r="16" spans="1:17" ht="12.75">
      <c r="A16" s="192" t="s">
        <v>36</v>
      </c>
      <c r="B16" s="115" t="s">
        <v>102</v>
      </c>
      <c r="C16" s="115">
        <v>3.5</v>
      </c>
      <c r="D16" s="115">
        <v>1</v>
      </c>
      <c r="E16" s="115"/>
      <c r="F16" s="115"/>
      <c r="G16" s="117">
        <f>(F16/6)</f>
        <v>0</v>
      </c>
      <c r="H16" s="118">
        <f>SUM(C16:E16)+G16</f>
        <v>4.5</v>
      </c>
      <c r="I16" s="119">
        <f>198+244+29+16+15</f>
        <v>502</v>
      </c>
      <c r="J16" s="115">
        <f>SUM(K16:M16)</f>
        <v>15</v>
      </c>
      <c r="K16" s="115">
        <v>1</v>
      </c>
      <c r="L16" s="115">
        <f>2+1</f>
        <v>3</v>
      </c>
      <c r="M16" s="115">
        <f>3+2+1+5</f>
        <v>11</v>
      </c>
      <c r="N16" s="120">
        <f>M16/H16</f>
        <v>2.4444444444444446</v>
      </c>
      <c r="O16" s="120">
        <f>J16/H16</f>
        <v>3.3333333333333335</v>
      </c>
      <c r="P16" s="120">
        <f>(I16/8.5)/H16</f>
        <v>13.124183006535949</v>
      </c>
      <c r="Q16" s="129">
        <f>I16/((H16*0.95)*6)</f>
        <v>19.57115009746589</v>
      </c>
    </row>
    <row r="17" spans="1:17" ht="12.75">
      <c r="A17" s="128"/>
      <c r="B17" s="115"/>
      <c r="C17" s="115"/>
      <c r="D17" s="115"/>
      <c r="E17" s="115"/>
      <c r="F17" s="115"/>
      <c r="G17" s="117"/>
      <c r="H17" s="118"/>
      <c r="I17" s="119"/>
      <c r="J17" s="115"/>
      <c r="K17" s="115"/>
      <c r="L17" s="115"/>
      <c r="M17" s="115"/>
      <c r="N17" s="120"/>
      <c r="O17" s="120"/>
      <c r="P17" s="120"/>
      <c r="Q17" s="129"/>
    </row>
    <row r="18" spans="1:17" ht="12.75">
      <c r="A18" s="128" t="s">
        <v>107</v>
      </c>
      <c r="B18" s="115" t="s">
        <v>108</v>
      </c>
      <c r="C18" s="115">
        <v>7</v>
      </c>
      <c r="D18" s="115">
        <v>2</v>
      </c>
      <c r="E18" s="115">
        <v>1</v>
      </c>
      <c r="F18" s="115"/>
      <c r="G18" s="117">
        <f>(F18/6)</f>
        <v>0</v>
      </c>
      <c r="H18" s="118">
        <f>SUM(C18:E18)+G18</f>
        <v>10</v>
      </c>
      <c r="I18" s="119">
        <f>433.5+390.5+114.5+14+33</f>
        <v>985.5</v>
      </c>
      <c r="J18" s="115">
        <f>SUM(K18:M18)</f>
        <v>246</v>
      </c>
      <c r="K18" s="115">
        <v>88</v>
      </c>
      <c r="L18" s="115">
        <v>46</v>
      </c>
      <c r="M18" s="115">
        <f>56+51+2+3</f>
        <v>112</v>
      </c>
      <c r="N18" s="120">
        <f>M18/H18</f>
        <v>11.2</v>
      </c>
      <c r="O18" s="120">
        <f>J18/H18</f>
        <v>24.6</v>
      </c>
      <c r="P18" s="120">
        <f>(I18/8.5)/H18</f>
        <v>11.594117647058823</v>
      </c>
      <c r="Q18" s="129">
        <f>I18/((H18*0.95)*6)</f>
        <v>17.289473684210527</v>
      </c>
    </row>
    <row r="19" spans="1:17" ht="12.75">
      <c r="A19" s="128" t="s">
        <v>109</v>
      </c>
      <c r="B19" s="115" t="s">
        <v>108</v>
      </c>
      <c r="C19" s="115">
        <v>4</v>
      </c>
      <c r="D19" s="115">
        <v>2</v>
      </c>
      <c r="E19" s="115">
        <v>1</v>
      </c>
      <c r="F19" s="115">
        <v>3</v>
      </c>
      <c r="G19" s="117">
        <f>(F19/6)</f>
        <v>0.5</v>
      </c>
      <c r="H19" s="118">
        <f>SUM(C19:E19)+G19</f>
        <v>7.5</v>
      </c>
      <c r="I19" s="119">
        <f>347.5+298+56+21+3+8</f>
        <v>733.5</v>
      </c>
      <c r="J19" s="115">
        <f>SUM(K19:M19)</f>
        <v>65</v>
      </c>
      <c r="K19" s="115">
        <f>22+1</f>
        <v>23</v>
      </c>
      <c r="L19" s="115">
        <v>11</v>
      </c>
      <c r="M19" s="115">
        <f>14+13+3+1</f>
        <v>31</v>
      </c>
      <c r="N19" s="120">
        <f>M19/H19</f>
        <v>4.133333333333334</v>
      </c>
      <c r="O19" s="120">
        <f>J19/H19</f>
        <v>8.666666666666666</v>
      </c>
      <c r="P19" s="120">
        <f>(I19/8.5)/H19</f>
        <v>11.505882352941176</v>
      </c>
      <c r="Q19" s="129">
        <f>I19/((H19*0.95)*6)</f>
        <v>17.157894736842106</v>
      </c>
    </row>
    <row r="20" spans="1:17" ht="12.75">
      <c r="A20" s="193" t="s">
        <v>56</v>
      </c>
      <c r="B20" s="115" t="s">
        <v>108</v>
      </c>
      <c r="C20" s="115">
        <v>9</v>
      </c>
      <c r="D20" s="115">
        <v>1</v>
      </c>
      <c r="E20" s="115"/>
      <c r="F20" s="115"/>
      <c r="G20" s="117">
        <f>(F20/6)</f>
        <v>0</v>
      </c>
      <c r="H20" s="118">
        <f>SUM(C20:E20)+G20</f>
        <v>10</v>
      </c>
      <c r="I20" s="119">
        <f>359+314+155+162-16+25+16+19</f>
        <v>1034</v>
      </c>
      <c r="J20" s="115">
        <f>SUM(K20:M20)</f>
        <v>102</v>
      </c>
      <c r="K20" s="115">
        <f>5+15+1</f>
        <v>21</v>
      </c>
      <c r="L20" s="115">
        <f>6+16+1+2</f>
        <v>25</v>
      </c>
      <c r="M20" s="115">
        <f>15+13+7+15+1+2+3</f>
        <v>56</v>
      </c>
      <c r="N20" s="120">
        <f>M20/H20</f>
        <v>5.6</v>
      </c>
      <c r="O20" s="120">
        <f>J20/H20</f>
        <v>10.2</v>
      </c>
      <c r="P20" s="120">
        <f>(I20/8.5)/H20</f>
        <v>12.16470588235294</v>
      </c>
      <c r="Q20" s="129">
        <f>I20/((H20*0.95)*6)</f>
        <v>18.140350877192983</v>
      </c>
    </row>
    <row r="21" spans="1:17" ht="12.75">
      <c r="A21" s="192" t="s">
        <v>37</v>
      </c>
      <c r="B21" s="115" t="s">
        <v>108</v>
      </c>
      <c r="C21" s="115">
        <v>3</v>
      </c>
      <c r="D21" s="115">
        <v>2</v>
      </c>
      <c r="E21" s="115"/>
      <c r="F21" s="115">
        <v>1</v>
      </c>
      <c r="G21" s="117">
        <f>(F21/6)</f>
        <v>0.16666666666666666</v>
      </c>
      <c r="H21" s="118">
        <f>SUM(C21:E21)+G21</f>
        <v>5.166666666666667</v>
      </c>
      <c r="I21" s="119">
        <f>221+208+109+32</f>
        <v>570</v>
      </c>
      <c r="J21" s="115">
        <f>SUM(K21:M21)</f>
        <v>33</v>
      </c>
      <c r="K21" s="115">
        <f>5+2</f>
        <v>7</v>
      </c>
      <c r="L21" s="115">
        <f>8+2</f>
        <v>10</v>
      </c>
      <c r="M21" s="115">
        <f>9+7</f>
        <v>16</v>
      </c>
      <c r="N21" s="120">
        <f>M21/H21</f>
        <v>3.096774193548387</v>
      </c>
      <c r="O21" s="120">
        <f>J21/H21</f>
        <v>6.387096774193548</v>
      </c>
      <c r="P21" s="120">
        <f>(I21/8.5)/H21</f>
        <v>12.979127134724857</v>
      </c>
      <c r="Q21" s="129">
        <f>I21/((H21*0.95)*6)</f>
        <v>19.35483870967742</v>
      </c>
    </row>
    <row r="22" spans="1:17" ht="12.75">
      <c r="A22" s="192" t="s">
        <v>35</v>
      </c>
      <c r="B22" s="115" t="s">
        <v>108</v>
      </c>
      <c r="C22" s="115">
        <v>6</v>
      </c>
      <c r="D22" s="115">
        <v>2</v>
      </c>
      <c r="E22" s="115"/>
      <c r="F22" s="115">
        <v>8</v>
      </c>
      <c r="G22" s="117">
        <f>(F22/6)</f>
        <v>1.3333333333333333</v>
      </c>
      <c r="H22" s="118">
        <f>SUM(C22:E22)+G22</f>
        <v>9.333333333333334</v>
      </c>
      <c r="I22" s="119">
        <f>624+614+20+32</f>
        <v>1290</v>
      </c>
      <c r="J22" s="115">
        <f>SUM(K22:M22)</f>
        <v>201</v>
      </c>
      <c r="K22" s="115">
        <v>39</v>
      </c>
      <c r="L22" s="115">
        <f>44</f>
        <v>44</v>
      </c>
      <c r="M22" s="115">
        <f>62+56</f>
        <v>118</v>
      </c>
      <c r="N22" s="120">
        <f>M22/H22</f>
        <v>12.642857142857142</v>
      </c>
      <c r="O22" s="120">
        <f>J22/H22</f>
        <v>21.535714285714285</v>
      </c>
      <c r="P22" s="120">
        <f>(I22/8.5)/H22</f>
        <v>16.26050420168067</v>
      </c>
      <c r="Q22" s="129">
        <f>I22/((H22*0.95)*6)</f>
        <v>24.24812030075188</v>
      </c>
    </row>
    <row r="23" spans="1:17" ht="12.75">
      <c r="A23" s="128"/>
      <c r="B23" s="115"/>
      <c r="C23" s="115"/>
      <c r="D23" s="115"/>
      <c r="E23" s="115"/>
      <c r="F23" s="115"/>
      <c r="G23" s="117"/>
      <c r="H23" s="118"/>
      <c r="I23" s="119"/>
      <c r="J23" s="115"/>
      <c r="K23" s="115"/>
      <c r="L23" s="115"/>
      <c r="M23" s="115"/>
      <c r="N23" s="120"/>
      <c r="O23" s="120"/>
      <c r="P23" s="120"/>
      <c r="Q23" s="129"/>
    </row>
    <row r="24" spans="1:17" ht="12.75">
      <c r="A24" s="128" t="s">
        <v>39</v>
      </c>
      <c r="B24" s="115" t="s">
        <v>114</v>
      </c>
      <c r="C24" s="115">
        <v>5</v>
      </c>
      <c r="D24" s="115"/>
      <c r="E24" s="115">
        <v>1</v>
      </c>
      <c r="F24" s="115">
        <v>8.17</v>
      </c>
      <c r="G24" s="117">
        <f>(F24/6)</f>
        <v>1.3616666666666666</v>
      </c>
      <c r="H24" s="118">
        <f>SUM(C24:E24)+G24</f>
        <v>7.361666666666666</v>
      </c>
      <c r="I24" s="119">
        <f>275+206+50+42</f>
        <v>573</v>
      </c>
      <c r="J24" s="115">
        <f>SUM(K24:M24)</f>
        <v>76</v>
      </c>
      <c r="K24" s="115">
        <v>17</v>
      </c>
      <c r="L24" s="115">
        <f>23</f>
        <v>23</v>
      </c>
      <c r="M24" s="115">
        <f>16+18+1+1</f>
        <v>36</v>
      </c>
      <c r="N24" s="120">
        <f>M24/H24</f>
        <v>4.890196966266697</v>
      </c>
      <c r="O24" s="120">
        <f>J24/H24</f>
        <v>10.32374915100747</v>
      </c>
      <c r="P24" s="120">
        <f>(I24/8.5)/H24</f>
        <v>9.157133534871951</v>
      </c>
      <c r="Q24" s="129">
        <f>I24/((H24*0.95)*6)</f>
        <v>13.655374569545895</v>
      </c>
    </row>
    <row r="25" spans="1:17" ht="12.75">
      <c r="A25" s="128" t="s">
        <v>115</v>
      </c>
      <c r="B25" s="115" t="s">
        <v>114</v>
      </c>
      <c r="C25" s="115">
        <v>7</v>
      </c>
      <c r="D25" s="115">
        <v>1.5</v>
      </c>
      <c r="E25" s="115"/>
      <c r="F25" s="115">
        <v>4</v>
      </c>
      <c r="G25" s="117">
        <f>(F25/6)</f>
        <v>0.6666666666666666</v>
      </c>
      <c r="H25" s="118">
        <f>SUM(C25:E25)+G25</f>
        <v>9.166666666666666</v>
      </c>
      <c r="I25" s="119">
        <f>509+453+43+81</f>
        <v>1086</v>
      </c>
      <c r="J25" s="115">
        <f>SUM(K25:M25)</f>
        <v>98</v>
      </c>
      <c r="K25" s="115">
        <f>15+4</f>
        <v>19</v>
      </c>
      <c r="L25" s="115">
        <f>17+3</f>
        <v>20</v>
      </c>
      <c r="M25" s="115">
        <f>25+16+10+8</f>
        <v>59</v>
      </c>
      <c r="N25" s="120">
        <f>M25/H25</f>
        <v>6.4363636363636365</v>
      </c>
      <c r="O25" s="120">
        <f>J25/H25</f>
        <v>10.690909090909091</v>
      </c>
      <c r="P25" s="120">
        <f>(I25/8.5)/H25</f>
        <v>13.937967914438504</v>
      </c>
      <c r="Q25" s="129">
        <f>I25/((H25*0.95)*6)</f>
        <v>20.784688995215316</v>
      </c>
    </row>
    <row r="26" spans="1:17" ht="12.75">
      <c r="A26" s="128" t="s">
        <v>116</v>
      </c>
      <c r="B26" s="115" t="s">
        <v>114</v>
      </c>
      <c r="C26" s="115">
        <v>6.5</v>
      </c>
      <c r="D26" s="115">
        <v>0.5</v>
      </c>
      <c r="E26" s="115"/>
      <c r="F26" s="115">
        <v>3</v>
      </c>
      <c r="G26" s="117">
        <f>(F26/6)</f>
        <v>0.5</v>
      </c>
      <c r="H26" s="118">
        <f>SUM(C26:E26)+G26</f>
        <v>7.5</v>
      </c>
      <c r="I26" s="119">
        <f>308+296+60+86+102</f>
        <v>852</v>
      </c>
      <c r="J26" s="115">
        <f>SUM(K26:M26)</f>
        <v>97</v>
      </c>
      <c r="K26" s="115">
        <v>19</v>
      </c>
      <c r="L26" s="115">
        <f>18+9</f>
        <v>27</v>
      </c>
      <c r="M26" s="115">
        <f>26+14+8+3</f>
        <v>51</v>
      </c>
      <c r="N26" s="120">
        <f>M26/H26</f>
        <v>6.8</v>
      </c>
      <c r="O26" s="120">
        <f>J26/H26</f>
        <v>12.933333333333334</v>
      </c>
      <c r="P26" s="120">
        <f>(I26/8.5)/H26</f>
        <v>13.364705882352942</v>
      </c>
      <c r="Q26" s="129">
        <f>I26/((H26*0.95)*6)</f>
        <v>19.92982456140351</v>
      </c>
    </row>
    <row r="27" spans="1:17" ht="13.5" thickBot="1">
      <c r="A27" s="130" t="s">
        <v>117</v>
      </c>
      <c r="B27" s="132" t="s">
        <v>114</v>
      </c>
      <c r="C27" s="132">
        <v>6</v>
      </c>
      <c r="D27" s="132">
        <v>1</v>
      </c>
      <c r="E27" s="132"/>
      <c r="F27" s="132">
        <v>6</v>
      </c>
      <c r="G27" s="133">
        <f>(F27/6)</f>
        <v>1</v>
      </c>
      <c r="H27" s="134">
        <f>SUM(C27:E27)+G27</f>
        <v>8</v>
      </c>
      <c r="I27" s="135">
        <f>382-4+475-12+81+30</f>
        <v>952</v>
      </c>
      <c r="J27" s="132">
        <f>SUM(K27:M27)</f>
        <v>49</v>
      </c>
      <c r="K27" s="132">
        <f>1+1</f>
        <v>2</v>
      </c>
      <c r="L27" s="132">
        <f>7+2+2</f>
        <v>11</v>
      </c>
      <c r="M27" s="132">
        <f>4+3+7+9+2+7+4</f>
        <v>36</v>
      </c>
      <c r="N27" s="136">
        <f>M27/H27</f>
        <v>4.5</v>
      </c>
      <c r="O27" s="136">
        <f>J27/H27</f>
        <v>6.125</v>
      </c>
      <c r="P27" s="136">
        <f>(I27/8.5)/H27</f>
        <v>14</v>
      </c>
      <c r="Q27" s="137">
        <f>I27/((H27*0.95)*6)</f>
        <v>20.877192982456144</v>
      </c>
    </row>
    <row r="28" spans="1:17" ht="13.5" thickBot="1">
      <c r="A28" s="55"/>
      <c r="B28" s="43"/>
      <c r="C28" s="44"/>
      <c r="D28" s="44"/>
      <c r="E28" s="44"/>
      <c r="F28" s="44"/>
      <c r="G28" s="50"/>
      <c r="H28" s="51"/>
      <c r="I28" s="52"/>
      <c r="J28" s="57"/>
      <c r="K28" s="57"/>
      <c r="L28" s="57"/>
      <c r="M28" s="57"/>
      <c r="N28" s="53"/>
      <c r="O28" s="53"/>
      <c r="P28" s="53"/>
      <c r="Q28" s="54"/>
    </row>
    <row r="29" spans="1:17" ht="13.5" thickBot="1">
      <c r="A29" s="138" t="s">
        <v>118</v>
      </c>
      <c r="B29" s="95"/>
      <c r="C29" s="140">
        <f>SUM(C9:C27)</f>
        <v>95.5</v>
      </c>
      <c r="D29" s="140">
        <f>SUM(D9:D27)</f>
        <v>17.67</v>
      </c>
      <c r="E29" s="140">
        <f>SUM(E9:E27)</f>
        <v>3</v>
      </c>
      <c r="F29" s="140"/>
      <c r="G29" s="97">
        <f>SUM(G9:G27)</f>
        <v>15.389999999999999</v>
      </c>
      <c r="H29" s="141">
        <f>SUM(C29:G29)</f>
        <v>131.56</v>
      </c>
      <c r="I29" s="142">
        <f>SUM(I9:I27)</f>
        <v>14742</v>
      </c>
      <c r="J29" s="143">
        <f>SUM(J9:J27)</f>
        <v>1756</v>
      </c>
      <c r="K29" s="144">
        <f>SUM(K9:K27)</f>
        <v>392</v>
      </c>
      <c r="L29" s="144">
        <f>SUM(L9:L27)</f>
        <v>402</v>
      </c>
      <c r="M29" s="143">
        <f>SUM(M9:M27)</f>
        <v>962</v>
      </c>
      <c r="N29" s="160">
        <f>M29/H29</f>
        <v>7.312252964426877</v>
      </c>
      <c r="O29" s="160">
        <f>J29/H29</f>
        <v>13.347522043174218</v>
      </c>
      <c r="P29" s="160">
        <f>(I29/8.5)/H29</f>
        <v>13.182980702162286</v>
      </c>
      <c r="Q29" s="161">
        <f>I29/((H29*0.95)*6)</f>
        <v>19.658830871645517</v>
      </c>
    </row>
    <row r="30" spans="1:17" ht="13.5" thickBot="1">
      <c r="A30" s="69"/>
      <c r="C30" s="7"/>
      <c r="D30" s="7"/>
      <c r="E30" s="7"/>
      <c r="F30" s="7"/>
      <c r="G30" s="71"/>
      <c r="H30" s="72"/>
      <c r="I30" s="24"/>
      <c r="J30" s="73"/>
      <c r="K30" s="73"/>
      <c r="L30" s="73"/>
      <c r="M30" s="73"/>
      <c r="N30" s="74"/>
      <c r="O30" s="74"/>
      <c r="P30" s="74"/>
      <c r="Q30" s="74"/>
    </row>
    <row r="31" spans="1:17" ht="13.5" thickBot="1">
      <c r="A31" s="75" t="s">
        <v>119</v>
      </c>
      <c r="B31" s="76"/>
      <c r="C31" s="77"/>
      <c r="D31" s="77"/>
      <c r="E31" s="77"/>
      <c r="F31" s="77"/>
      <c r="G31" s="78"/>
      <c r="H31" s="77"/>
      <c r="I31" s="78"/>
      <c r="J31" s="79"/>
      <c r="K31" s="79"/>
      <c r="L31" s="79"/>
      <c r="M31" s="79"/>
      <c r="N31" s="80"/>
      <c r="O31" s="80"/>
      <c r="P31" s="80"/>
      <c r="Q31" s="81"/>
    </row>
    <row r="32" spans="1:17" ht="12.75">
      <c r="A32" s="168" t="s">
        <v>120</v>
      </c>
      <c r="B32" s="10"/>
      <c r="C32" s="125">
        <v>5</v>
      </c>
      <c r="D32" s="125"/>
      <c r="E32" s="125"/>
      <c r="F32" s="125">
        <v>2</v>
      </c>
      <c r="G32" s="169">
        <f>(F32/6)</f>
        <v>0.3333333333333333</v>
      </c>
      <c r="H32" s="170">
        <f>SUM(C32:E32)+G32</f>
        <v>5.333333333333333</v>
      </c>
      <c r="I32" s="171">
        <f>196+201+37</f>
        <v>434</v>
      </c>
      <c r="J32" s="125">
        <f>SUM(K32:M32)</f>
        <v>54</v>
      </c>
      <c r="K32" s="125">
        <f>11+1</f>
        <v>12</v>
      </c>
      <c r="L32" s="125">
        <v>10</v>
      </c>
      <c r="M32" s="125">
        <f>15+16+1</f>
        <v>32</v>
      </c>
      <c r="N32" s="172">
        <f>M32/H32</f>
        <v>6</v>
      </c>
      <c r="O32" s="172">
        <f>J32/H32</f>
        <v>10.125</v>
      </c>
      <c r="P32" s="172">
        <f>(I32/8.5)/H32</f>
        <v>9.573529411764707</v>
      </c>
      <c r="Q32" s="173">
        <f>I32/((H32*0.95)*6)</f>
        <v>14.276315789473685</v>
      </c>
    </row>
    <row r="33" spans="1:17" ht="12.75">
      <c r="A33" s="174" t="s">
        <v>121</v>
      </c>
      <c r="B33" s="17"/>
      <c r="C33" s="115">
        <v>15.5</v>
      </c>
      <c r="D33" s="115"/>
      <c r="E33" s="115"/>
      <c r="F33" s="115">
        <f>36.83+53.65+20.91</f>
        <v>111.38999999999999</v>
      </c>
      <c r="G33" s="117">
        <f>(F33/6)</f>
        <v>18.564999999999998</v>
      </c>
      <c r="H33" s="118">
        <f>SUM(C33:E33)+G33</f>
        <v>34.065</v>
      </c>
      <c r="I33" s="167">
        <f>697.5+711+3+103.5+16</f>
        <v>1531</v>
      </c>
      <c r="J33" s="115">
        <f>SUM(K33:M33)</f>
        <v>195</v>
      </c>
      <c r="K33" s="115">
        <f>18+26+1+1+5</f>
        <v>51</v>
      </c>
      <c r="L33" s="115">
        <f>3+20+4+7+1+12+3+2</f>
        <v>52</v>
      </c>
      <c r="M33" s="115">
        <f>4+3+14+11+8+10+3+4+3+1+9+10+1+4+3+1+1+2</f>
        <v>92</v>
      </c>
      <c r="N33" s="120">
        <f>M33/H33</f>
        <v>2.700719213268751</v>
      </c>
      <c r="O33" s="120">
        <f>J33/H33</f>
        <v>5.7243505063848525</v>
      </c>
      <c r="P33" s="120">
        <f>(I33/8.5)/H33</f>
        <v>5.287469457179614</v>
      </c>
      <c r="Q33" s="129">
        <f>I33/((H33*0.95)*6)</f>
        <v>7.8848228747415305</v>
      </c>
    </row>
    <row r="34" spans="1:17" ht="12.75">
      <c r="A34" s="174" t="s">
        <v>122</v>
      </c>
      <c r="B34" s="17"/>
      <c r="C34" s="115">
        <v>8</v>
      </c>
      <c r="D34" s="115"/>
      <c r="E34" s="115">
        <v>1</v>
      </c>
      <c r="F34" s="115">
        <v>19.75</v>
      </c>
      <c r="G34" s="117">
        <f>(F34/6)</f>
        <v>3.2916666666666665</v>
      </c>
      <c r="H34" s="118">
        <f>SUM(C34:E34)+G34</f>
        <v>12.291666666666666</v>
      </c>
      <c r="I34" s="166">
        <f>192+170+15+69+139+70+16</f>
        <v>671</v>
      </c>
      <c r="J34" s="115">
        <f>SUM(K34:M34)</f>
        <v>96</v>
      </c>
      <c r="K34" s="115">
        <f>22</f>
        <v>22</v>
      </c>
      <c r="L34" s="115">
        <v>31</v>
      </c>
      <c r="M34" s="115">
        <f>23+20</f>
        <v>43</v>
      </c>
      <c r="N34" s="120">
        <f>M34/H34</f>
        <v>3.498305084745763</v>
      </c>
      <c r="O34" s="120">
        <f>J34/H34</f>
        <v>7.810169491525424</v>
      </c>
      <c r="P34" s="120">
        <f>(I34/8.5)/H34</f>
        <v>6.422333000997009</v>
      </c>
      <c r="Q34" s="129">
        <f>I34/((H34*0.95)*6)</f>
        <v>9.577163247100803</v>
      </c>
    </row>
    <row r="35" spans="1:17" ht="27" thickBot="1">
      <c r="A35" s="175" t="s">
        <v>123</v>
      </c>
      <c r="B35" s="176"/>
      <c r="C35" s="132">
        <v>7</v>
      </c>
      <c r="D35" s="132">
        <v>1</v>
      </c>
      <c r="E35" s="132">
        <f>1</f>
        <v>1</v>
      </c>
      <c r="F35" s="132">
        <f>16.5+9.46+5.53</f>
        <v>31.490000000000002</v>
      </c>
      <c r="G35" s="133">
        <f>(F35/6)</f>
        <v>5.248333333333334</v>
      </c>
      <c r="H35" s="134">
        <f>SUM(C35:E35)+G35</f>
        <v>14.248333333333335</v>
      </c>
      <c r="I35" s="177">
        <f>52+282+31.75+280.5+123+47.75+55.75</f>
        <v>872.75</v>
      </c>
      <c r="J35" s="132">
        <f>SUM(K35:M35)</f>
        <v>113</v>
      </c>
      <c r="K35" s="132">
        <f>3+6+2+10+2</f>
        <v>23</v>
      </c>
      <c r="L35" s="132">
        <f>6+6+4+10+2</f>
        <v>28</v>
      </c>
      <c r="M35" s="132">
        <f>6+5+10+7+4+1+11+15+3</f>
        <v>62</v>
      </c>
      <c r="N35" s="136">
        <f>M35/H35</f>
        <v>4.351386127032401</v>
      </c>
      <c r="O35" s="136">
        <f>J35/H35</f>
        <v>7.930752134752602</v>
      </c>
      <c r="P35" s="136">
        <f>(I35/8.5)/H35</f>
        <v>7.206209188553184</v>
      </c>
      <c r="Q35" s="137">
        <f>I35/((H35*0.95)*6)</f>
        <v>10.746101421526678</v>
      </c>
    </row>
    <row r="36" spans="1:17" ht="13.5" thickBot="1">
      <c r="A36" s="82"/>
      <c r="B36" s="43"/>
      <c r="C36" s="44"/>
      <c r="D36" s="44"/>
      <c r="E36" s="44"/>
      <c r="F36" s="44"/>
      <c r="G36" s="50"/>
      <c r="H36" s="51"/>
      <c r="I36" s="87"/>
      <c r="J36" s="57"/>
      <c r="K36" s="57"/>
      <c r="L36" s="57"/>
      <c r="M36" s="57"/>
      <c r="N36" s="53"/>
      <c r="O36" s="53"/>
      <c r="P36" s="53"/>
      <c r="Q36" s="54"/>
    </row>
    <row r="37" spans="1:17" ht="13.5" thickBot="1">
      <c r="A37" s="145" t="s">
        <v>124</v>
      </c>
      <c r="B37" s="146"/>
      <c r="C37" s="147">
        <f>SUM(C32:C35)</f>
        <v>35.5</v>
      </c>
      <c r="D37" s="147"/>
      <c r="E37" s="147">
        <f>SUM(E32:E35)</f>
        <v>2</v>
      </c>
      <c r="F37" s="147"/>
      <c r="G37" s="148">
        <f>SUM(G32:G35)</f>
        <v>27.438333333333333</v>
      </c>
      <c r="H37" s="149">
        <f>SUM(C37:G37)</f>
        <v>64.93833333333333</v>
      </c>
      <c r="I37" s="150">
        <f>SUM(I32:I35)</f>
        <v>3508.75</v>
      </c>
      <c r="J37" s="151">
        <f>SUM(J32:J35)</f>
        <v>458</v>
      </c>
      <c r="K37" s="151">
        <f>SUM(K32:K35)</f>
        <v>108</v>
      </c>
      <c r="L37" s="151">
        <f>SUM(L32:L35)</f>
        <v>121</v>
      </c>
      <c r="M37" s="151">
        <f>SUM(M32:M35)</f>
        <v>229</v>
      </c>
      <c r="N37" s="162">
        <f>M37/H37</f>
        <v>3.526422503400662</v>
      </c>
      <c r="O37" s="162">
        <f>J37/H37</f>
        <v>7.052845006801324</v>
      </c>
      <c r="P37" s="162">
        <f>(I37/8.5)/H37</f>
        <v>6.356709457388685</v>
      </c>
      <c r="Q37" s="163">
        <f>I37/((H37*0.95)*6)</f>
        <v>9.479303576807688</v>
      </c>
    </row>
    <row r="38" spans="3:17" ht="13.5" thickBot="1">
      <c r="C38" s="7"/>
      <c r="D38" s="7"/>
      <c r="E38" s="7"/>
      <c r="F38" s="7"/>
      <c r="G38" s="24"/>
      <c r="H38" s="7"/>
      <c r="I38" s="24"/>
      <c r="J38" s="73"/>
      <c r="K38" s="73"/>
      <c r="L38" s="73"/>
      <c r="M38" s="73"/>
      <c r="N38" s="164"/>
      <c r="O38" s="165"/>
      <c r="P38" s="164"/>
      <c r="Q38" s="164"/>
    </row>
    <row r="39" spans="1:17" ht="13.5" thickBot="1">
      <c r="A39" s="145" t="s">
        <v>125</v>
      </c>
      <c r="B39" s="146"/>
      <c r="C39" s="152">
        <f>C29+C37</f>
        <v>131</v>
      </c>
      <c r="D39" s="152">
        <f>D29+D37</f>
        <v>17.67</v>
      </c>
      <c r="E39" s="152">
        <f>E29+E37</f>
        <v>5</v>
      </c>
      <c r="F39" s="152"/>
      <c r="G39" s="153">
        <f aca="true" t="shared" si="0" ref="G39:M39">G29+G37</f>
        <v>42.82833333333333</v>
      </c>
      <c r="H39" s="153">
        <f t="shared" si="0"/>
        <v>196.49833333333333</v>
      </c>
      <c r="I39" s="153">
        <f t="shared" si="0"/>
        <v>18250.75</v>
      </c>
      <c r="J39" s="154">
        <f t="shared" si="0"/>
        <v>2214</v>
      </c>
      <c r="K39" s="154">
        <f t="shared" si="0"/>
        <v>500</v>
      </c>
      <c r="L39" s="154">
        <f t="shared" si="0"/>
        <v>523</v>
      </c>
      <c r="M39" s="154">
        <f t="shared" si="0"/>
        <v>1191</v>
      </c>
      <c r="N39" s="162">
        <f>M39/H39</f>
        <v>6.06112011128169</v>
      </c>
      <c r="O39" s="162">
        <f>J39/H39</f>
        <v>11.26727113885614</v>
      </c>
      <c r="P39" s="162">
        <f>(I39/8.5)/H39</f>
        <v>10.927049723018156</v>
      </c>
      <c r="Q39" s="163">
        <f>I39/((H39*0.95)*6)</f>
        <v>16.294723271167424</v>
      </c>
    </row>
    <row r="40" spans="3:15" ht="12.75">
      <c r="C40" s="7"/>
      <c r="D40" s="7"/>
      <c r="E40" s="7"/>
      <c r="F40" s="7"/>
      <c r="G40" s="7"/>
      <c r="H40" s="7"/>
      <c r="M40" s="7"/>
      <c r="N40" s="7"/>
      <c r="O40" s="7"/>
    </row>
    <row r="41" spans="1:17" ht="12.75">
      <c r="A41" s="182" t="s">
        <v>126</v>
      </c>
      <c r="B41" s="183"/>
      <c r="C41" s="184"/>
      <c r="D41" s="184"/>
      <c r="E41" s="184"/>
      <c r="F41" s="184"/>
      <c r="G41" s="184"/>
      <c r="H41" s="184"/>
      <c r="I41" s="184"/>
      <c r="J41" s="184"/>
      <c r="K41" s="184"/>
      <c r="L41" s="184"/>
      <c r="M41" s="184"/>
      <c r="N41" s="184"/>
      <c r="O41" s="184"/>
      <c r="P41" s="184"/>
      <c r="Q41" s="185"/>
    </row>
    <row r="42" spans="1:17" ht="12.75">
      <c r="A42" s="186" t="s">
        <v>32</v>
      </c>
      <c r="B42" s="187"/>
      <c r="C42" s="57"/>
      <c r="D42" s="57"/>
      <c r="E42" s="57"/>
      <c r="F42" s="57"/>
      <c r="G42" s="57"/>
      <c r="H42" s="57"/>
      <c r="I42" s="57"/>
      <c r="J42" s="57"/>
      <c r="K42" s="57"/>
      <c r="L42" s="57"/>
      <c r="M42" s="57"/>
      <c r="N42" s="57"/>
      <c r="O42" s="57"/>
      <c r="P42" s="57"/>
      <c r="Q42" s="188"/>
    </row>
    <row r="43" spans="1:17" ht="41.25" customHeight="1">
      <c r="A43" s="212" t="s">
        <v>12</v>
      </c>
      <c r="B43" s="213"/>
      <c r="C43" s="213"/>
      <c r="D43" s="213"/>
      <c r="E43" s="213"/>
      <c r="F43" s="213"/>
      <c r="G43" s="213"/>
      <c r="H43" s="213"/>
      <c r="I43" s="213"/>
      <c r="J43" s="213"/>
      <c r="K43" s="213"/>
      <c r="L43" s="213"/>
      <c r="M43" s="213"/>
      <c r="N43" s="213"/>
      <c r="O43" s="213"/>
      <c r="P43" s="213"/>
      <c r="Q43" s="214"/>
    </row>
    <row r="44" spans="1:17" ht="12.75">
      <c r="A44" s="186" t="s">
        <v>8</v>
      </c>
      <c r="B44" s="187"/>
      <c r="C44" s="187"/>
      <c r="D44" s="187"/>
      <c r="E44" s="187"/>
      <c r="F44" s="187"/>
      <c r="G44" s="187"/>
      <c r="H44" s="187"/>
      <c r="I44" s="57"/>
      <c r="J44" s="57"/>
      <c r="K44" s="57"/>
      <c r="L44" s="57"/>
      <c r="M44" s="187"/>
      <c r="N44" s="187"/>
      <c r="O44" s="187"/>
      <c r="P44" s="57"/>
      <c r="Q44" s="188"/>
    </row>
    <row r="45" spans="1:17" ht="19.5" customHeight="1">
      <c r="A45" s="189" t="s">
        <v>60</v>
      </c>
      <c r="B45" s="190"/>
      <c r="C45" s="190"/>
      <c r="D45" s="190"/>
      <c r="E45" s="190"/>
      <c r="F45" s="190"/>
      <c r="G45" s="190"/>
      <c r="H45" s="190"/>
      <c r="I45" s="190"/>
      <c r="J45" s="190"/>
      <c r="K45" s="190"/>
      <c r="L45" s="190"/>
      <c r="M45" s="190"/>
      <c r="N45" s="190"/>
      <c r="O45" s="190"/>
      <c r="P45" s="190"/>
      <c r="Q45" s="191"/>
    </row>
    <row r="46" spans="1:17" ht="15.75" customHeight="1">
      <c r="A46" s="212" t="s">
        <v>59</v>
      </c>
      <c r="B46" s="213"/>
      <c r="C46" s="213"/>
      <c r="D46" s="213"/>
      <c r="E46" s="213"/>
      <c r="F46" s="213"/>
      <c r="G46" s="213"/>
      <c r="H46" s="213"/>
      <c r="I46" s="213"/>
      <c r="J46" s="213"/>
      <c r="K46" s="213"/>
      <c r="L46" s="213"/>
      <c r="M46" s="213"/>
      <c r="N46" s="213"/>
      <c r="O46" s="213"/>
      <c r="P46" s="213"/>
      <c r="Q46" s="214"/>
    </row>
    <row r="47" spans="1:17" ht="12.75">
      <c r="A47" s="186" t="s">
        <v>29</v>
      </c>
      <c r="B47" s="187"/>
      <c r="C47" s="187"/>
      <c r="D47" s="187"/>
      <c r="E47" s="187"/>
      <c r="F47" s="187"/>
      <c r="G47" s="187"/>
      <c r="H47" s="187"/>
      <c r="I47" s="57"/>
      <c r="J47" s="57"/>
      <c r="K47" s="57"/>
      <c r="L47" s="57"/>
      <c r="M47" s="187"/>
      <c r="N47" s="187"/>
      <c r="O47" s="187"/>
      <c r="P47" s="57"/>
      <c r="Q47" s="188"/>
    </row>
    <row r="48" spans="1:17" ht="12.75">
      <c r="A48" s="186" t="s">
        <v>55</v>
      </c>
      <c r="B48" s="187"/>
      <c r="C48" s="187"/>
      <c r="D48" s="187"/>
      <c r="E48" s="187"/>
      <c r="F48" s="187"/>
      <c r="G48" s="187"/>
      <c r="H48" s="187"/>
      <c r="I48" s="57"/>
      <c r="J48" s="57"/>
      <c r="K48" s="57"/>
      <c r="L48" s="57"/>
      <c r="M48" s="187"/>
      <c r="N48" s="187"/>
      <c r="O48" s="187"/>
      <c r="P48" s="57"/>
      <c r="Q48" s="188"/>
    </row>
    <row r="49" spans="1:17" ht="25.5" customHeight="1">
      <c r="A49" s="212" t="s">
        <v>40</v>
      </c>
      <c r="B49" s="213"/>
      <c r="C49" s="213"/>
      <c r="D49" s="213"/>
      <c r="E49" s="213"/>
      <c r="F49" s="213"/>
      <c r="G49" s="213"/>
      <c r="H49" s="213"/>
      <c r="I49" s="213"/>
      <c r="J49" s="213"/>
      <c r="K49" s="213"/>
      <c r="L49" s="213"/>
      <c r="M49" s="213"/>
      <c r="N49" s="213"/>
      <c r="O49" s="213"/>
      <c r="P49" s="213"/>
      <c r="Q49" s="214"/>
    </row>
    <row r="50" spans="1:17" ht="18" customHeight="1">
      <c r="A50" s="212"/>
      <c r="B50" s="213"/>
      <c r="C50" s="213"/>
      <c r="D50" s="213"/>
      <c r="E50" s="213"/>
      <c r="F50" s="213"/>
      <c r="G50" s="213"/>
      <c r="H50" s="213"/>
      <c r="I50" s="213"/>
      <c r="J50" s="213"/>
      <c r="K50" s="213"/>
      <c r="L50" s="213"/>
      <c r="M50" s="213"/>
      <c r="N50" s="213"/>
      <c r="O50" s="213"/>
      <c r="P50" s="213"/>
      <c r="Q50" s="214"/>
    </row>
    <row r="51" spans="1:17" ht="12.75">
      <c r="A51" s="178"/>
      <c r="B51" s="179"/>
      <c r="C51" s="179"/>
      <c r="D51" s="179"/>
      <c r="E51" s="179"/>
      <c r="F51" s="179"/>
      <c r="G51" s="179"/>
      <c r="H51" s="179"/>
      <c r="I51" s="180"/>
      <c r="J51" s="180"/>
      <c r="K51" s="180"/>
      <c r="L51" s="180"/>
      <c r="M51" s="179"/>
      <c r="N51" s="179"/>
      <c r="O51" s="179"/>
      <c r="P51" s="180"/>
      <c r="Q51" s="181"/>
    </row>
    <row r="52" spans="1:11" ht="12.75">
      <c r="A52" s="100"/>
      <c r="F52" s="104" t="s">
        <v>42</v>
      </c>
      <c r="G52" s="105"/>
      <c r="H52" s="105"/>
      <c r="I52" s="105"/>
      <c r="J52" s="105"/>
      <c r="K52" s="106"/>
    </row>
    <row r="53" spans="6:11" ht="12.75">
      <c r="F53" s="104" t="s">
        <v>9</v>
      </c>
      <c r="G53" s="105"/>
      <c r="H53" s="105"/>
      <c r="I53" s="105"/>
      <c r="J53" s="105"/>
      <c r="K53" s="106"/>
    </row>
    <row r="54" spans="6:11" ht="12.75">
      <c r="F54" s="104"/>
      <c r="G54" s="105"/>
      <c r="H54" s="105"/>
      <c r="I54" s="105"/>
      <c r="J54" s="105"/>
      <c r="K54" s="106"/>
    </row>
    <row r="55" spans="6:11" ht="12.75">
      <c r="F55" s="107"/>
      <c r="G55" s="107" t="s">
        <v>44</v>
      </c>
      <c r="H55" s="108">
        <v>8832.75</v>
      </c>
      <c r="I55" s="109"/>
      <c r="J55" s="105"/>
      <c r="K55" s="106"/>
    </row>
    <row r="56" spans="6:11" ht="12.75">
      <c r="F56" s="107"/>
      <c r="G56" s="107" t="s">
        <v>45</v>
      </c>
      <c r="H56" s="108">
        <v>8383</v>
      </c>
      <c r="I56" s="109"/>
      <c r="J56" s="105"/>
      <c r="K56" s="106"/>
    </row>
    <row r="57" spans="6:11" ht="12.75">
      <c r="F57" s="107"/>
      <c r="G57" s="107" t="s">
        <v>46</v>
      </c>
      <c r="H57" s="108">
        <v>1405</v>
      </c>
      <c r="I57" s="109"/>
      <c r="J57" s="105"/>
      <c r="K57" s="106"/>
    </row>
    <row r="58" spans="6:11" ht="12.75">
      <c r="F58" s="107"/>
      <c r="G58" s="107"/>
      <c r="H58" s="108">
        <f>SUM(H55:H57)</f>
        <v>18620.75</v>
      </c>
      <c r="I58" s="109"/>
      <c r="J58" s="105"/>
      <c r="K58" s="106"/>
    </row>
    <row r="59" spans="6:11" ht="23.25" customHeight="1">
      <c r="F59" s="207" t="s">
        <v>47</v>
      </c>
      <c r="G59" s="207"/>
      <c r="H59" s="108">
        <f>71+4+12+16+26</f>
        <v>129</v>
      </c>
      <c r="I59" s="109"/>
      <c r="J59" s="105"/>
      <c r="K59" s="106"/>
    </row>
    <row r="60" spans="6:11" ht="23.25" customHeight="1">
      <c r="F60" s="207" t="s">
        <v>48</v>
      </c>
      <c r="G60" s="207"/>
      <c r="H60" s="108">
        <f>23+16</f>
        <v>39</v>
      </c>
      <c r="I60" s="109"/>
      <c r="J60" s="105"/>
      <c r="K60" s="106"/>
    </row>
    <row r="61" spans="6:11" ht="39">
      <c r="F61" s="107"/>
      <c r="G61" s="110" t="s">
        <v>49</v>
      </c>
      <c r="H61" s="108">
        <f>119.25+31-47.75+181.25+55-55.75</f>
        <v>283</v>
      </c>
      <c r="I61" s="109"/>
      <c r="J61" s="105"/>
      <c r="K61" s="106"/>
    </row>
    <row r="62" spans="6:11" ht="12.75">
      <c r="F62" s="107"/>
      <c r="G62" s="107"/>
      <c r="H62" s="108">
        <f>(H58-H59-H60-H61)</f>
        <v>18169.75</v>
      </c>
      <c r="I62" s="111"/>
      <c r="J62" s="112"/>
      <c r="K62" s="113"/>
    </row>
  </sheetData>
  <sheetProtection/>
  <mergeCells count="8">
    <mergeCell ref="J2:O2"/>
    <mergeCell ref="F59:G59"/>
    <mergeCell ref="F60:G60"/>
    <mergeCell ref="J3:N3"/>
    <mergeCell ref="A49:Q49"/>
    <mergeCell ref="A50:Q50"/>
    <mergeCell ref="A46:Q46"/>
    <mergeCell ref="A43:Q43"/>
  </mergeCells>
  <printOptions horizontalCentered="1" verticalCentered="1"/>
  <pageMargins left="0.08" right="0.45" top="0.51" bottom="0.25" header="0.5" footer="0.25"/>
  <pageSetup orientation="landscape" scale="79"/>
  <rowBreaks count="1" manualBreakCount="1">
    <brk id="39" max="17" man="1"/>
  </rowBreaks>
</worksheet>
</file>

<file path=xl/worksheets/sheet3.xml><?xml version="1.0" encoding="utf-8"?>
<worksheet xmlns="http://schemas.openxmlformats.org/spreadsheetml/2006/main" xmlns:r="http://schemas.openxmlformats.org/officeDocument/2006/relationships">
  <sheetPr>
    <tabColor indexed="43"/>
  </sheetPr>
  <dimension ref="A1:R62"/>
  <sheetViews>
    <sheetView zoomScalePageLayoutView="0" workbookViewId="0" topLeftCell="E2">
      <selection activeCell="I61" sqref="I61"/>
    </sheetView>
  </sheetViews>
  <sheetFormatPr defaultColWidth="11.50390625" defaultRowHeight="12"/>
  <cols>
    <col min="1" max="1" width="28.50390625" style="3" customWidth="1"/>
    <col min="2" max="2" width="1.625" style="3" customWidth="1"/>
    <col min="3" max="3" width="3.625" style="3" customWidth="1"/>
    <col min="4" max="4" width="8.50390625" style="3" customWidth="1"/>
    <col min="5" max="5" width="8.875" style="3" customWidth="1"/>
    <col min="6" max="6" width="8.50390625" style="3" customWidth="1"/>
    <col min="7" max="7" width="9.625" style="3" customWidth="1"/>
    <col min="8" max="8" width="9.50390625" style="3" customWidth="1"/>
    <col min="9" max="9" width="10.875" style="3" customWidth="1"/>
    <col min="10" max="10" width="10.125" style="7" customWidth="1"/>
    <col min="11" max="11" width="8.50390625" style="7" customWidth="1"/>
    <col min="12" max="12" width="8.00390625" style="7" customWidth="1"/>
    <col min="13" max="13" width="7.875" style="7" customWidth="1"/>
    <col min="14" max="14" width="7.625" style="3" customWidth="1"/>
    <col min="15" max="15" width="11.50390625" style="3" customWidth="1"/>
    <col min="16" max="16" width="10.625" style="3" customWidth="1"/>
    <col min="17" max="18" width="10.125" style="7" customWidth="1"/>
    <col min="19" max="16384" width="11.50390625" style="3" customWidth="1"/>
  </cols>
  <sheetData>
    <row r="1" spans="1:8" ht="25.5" thickBot="1">
      <c r="A1" s="1"/>
      <c r="B1" s="2"/>
      <c r="D1" s="4"/>
      <c r="E1" s="5"/>
      <c r="H1" s="6" t="s">
        <v>53</v>
      </c>
    </row>
    <row r="2" spans="1:18" ht="12.75">
      <c r="A2" s="1" t="s">
        <v>58</v>
      </c>
      <c r="B2" s="2"/>
      <c r="C2" s="8"/>
      <c r="D2" s="9"/>
      <c r="E2" s="10"/>
      <c r="F2" s="10"/>
      <c r="G2" s="10"/>
      <c r="H2" s="10"/>
      <c r="I2" s="10"/>
      <c r="J2" s="125"/>
      <c r="K2" s="204" t="s">
        <v>62</v>
      </c>
      <c r="L2" s="205"/>
      <c r="M2" s="205"/>
      <c r="N2" s="205"/>
      <c r="O2" s="205"/>
      <c r="P2" s="215"/>
      <c r="Q2" s="156"/>
      <c r="R2" s="14"/>
    </row>
    <row r="3" spans="1:18" ht="12.75">
      <c r="A3" s="1"/>
      <c r="B3" s="2"/>
      <c r="C3" s="15"/>
      <c r="D3" s="16" t="s">
        <v>63</v>
      </c>
      <c r="E3" s="17"/>
      <c r="F3" s="17"/>
      <c r="G3" s="17"/>
      <c r="H3" s="17"/>
      <c r="I3" s="16" t="s">
        <v>64</v>
      </c>
      <c r="J3" s="155" t="s">
        <v>65</v>
      </c>
      <c r="K3" s="209" t="s">
        <v>54</v>
      </c>
      <c r="L3" s="210"/>
      <c r="M3" s="210"/>
      <c r="N3" s="210"/>
      <c r="O3" s="210"/>
      <c r="P3" s="158"/>
      <c r="Q3" s="157"/>
      <c r="R3" s="22"/>
    </row>
    <row r="4" spans="1:18" s="31" customFormat="1" ht="12.75">
      <c r="A4" s="23"/>
      <c r="B4" s="24"/>
      <c r="C4" s="25"/>
      <c r="D4" s="26" t="s">
        <v>67</v>
      </c>
      <c r="E4" s="26" t="s">
        <v>68</v>
      </c>
      <c r="F4" s="26" t="s">
        <v>69</v>
      </c>
      <c r="G4" s="16" t="s">
        <v>70</v>
      </c>
      <c r="H4" s="16" t="s">
        <v>70</v>
      </c>
      <c r="I4" s="16" t="s">
        <v>71</v>
      </c>
      <c r="J4" s="16" t="s">
        <v>72</v>
      </c>
      <c r="K4" s="16" t="s">
        <v>73</v>
      </c>
      <c r="L4" s="16" t="s">
        <v>73</v>
      </c>
      <c r="M4" s="16" t="s">
        <v>73</v>
      </c>
      <c r="N4" s="16" t="s">
        <v>73</v>
      </c>
      <c r="O4" s="16" t="s">
        <v>74</v>
      </c>
      <c r="P4" s="28" t="s">
        <v>75</v>
      </c>
      <c r="Q4" s="16" t="s">
        <v>76</v>
      </c>
      <c r="R4" s="30" t="s">
        <v>77</v>
      </c>
    </row>
    <row r="5" spans="1:18" s="31" customFormat="1" ht="13.5" thickBot="1">
      <c r="A5" s="159" t="s">
        <v>78</v>
      </c>
      <c r="B5" s="33"/>
      <c r="C5" s="34" t="s">
        <v>79</v>
      </c>
      <c r="D5" s="35" t="s">
        <v>80</v>
      </c>
      <c r="E5" s="35" t="s">
        <v>81</v>
      </c>
      <c r="F5" s="35" t="s">
        <v>82</v>
      </c>
      <c r="G5" s="37" t="s">
        <v>72</v>
      </c>
      <c r="H5" s="37" t="s">
        <v>83</v>
      </c>
      <c r="I5" s="37" t="s">
        <v>84</v>
      </c>
      <c r="J5" s="37" t="s">
        <v>85</v>
      </c>
      <c r="K5" s="37" t="s">
        <v>86</v>
      </c>
      <c r="L5" s="37" t="s">
        <v>87</v>
      </c>
      <c r="M5" s="37" t="s">
        <v>88</v>
      </c>
      <c r="N5" s="37" t="s">
        <v>89</v>
      </c>
      <c r="O5" s="37" t="s">
        <v>90</v>
      </c>
      <c r="P5" s="38" t="s">
        <v>90</v>
      </c>
      <c r="Q5" s="37" t="s">
        <v>91</v>
      </c>
      <c r="R5" s="40" t="s">
        <v>92</v>
      </c>
    </row>
    <row r="6" spans="1:18" ht="13.5" thickBot="1">
      <c r="A6" s="55"/>
      <c r="B6" s="47"/>
      <c r="C6" s="43"/>
      <c r="D6" s="43"/>
      <c r="E6" s="43"/>
      <c r="F6" s="43"/>
      <c r="G6" s="43"/>
      <c r="H6" s="43"/>
      <c r="I6" s="43"/>
      <c r="J6" s="44"/>
      <c r="K6" s="44"/>
      <c r="L6" s="44"/>
      <c r="M6" s="44"/>
      <c r="N6" s="43"/>
      <c r="O6" s="43"/>
      <c r="P6" s="43"/>
      <c r="Q6" s="44"/>
      <c r="R6" s="45"/>
    </row>
    <row r="7" spans="1:18" ht="66">
      <c r="A7" s="121" t="s">
        <v>26</v>
      </c>
      <c r="B7" s="122"/>
      <c r="C7" s="10"/>
      <c r="D7" s="123" t="s">
        <v>22</v>
      </c>
      <c r="E7" s="123" t="s">
        <v>22</v>
      </c>
      <c r="F7" s="123" t="s">
        <v>22</v>
      </c>
      <c r="G7" s="124" t="s">
        <v>23</v>
      </c>
      <c r="H7" s="125" t="s">
        <v>97</v>
      </c>
      <c r="I7" s="125" t="s">
        <v>97</v>
      </c>
      <c r="J7" s="124" t="s">
        <v>24</v>
      </c>
      <c r="K7" s="125" t="s">
        <v>97</v>
      </c>
      <c r="L7" s="124" t="s">
        <v>25</v>
      </c>
      <c r="M7" s="124" t="s">
        <v>25</v>
      </c>
      <c r="N7" s="124" t="s">
        <v>25</v>
      </c>
      <c r="O7" s="125" t="s">
        <v>97</v>
      </c>
      <c r="P7" s="125" t="s">
        <v>97</v>
      </c>
      <c r="Q7" s="125" t="s">
        <v>97</v>
      </c>
      <c r="R7" s="14" t="s">
        <v>97</v>
      </c>
    </row>
    <row r="8" spans="1:18" ht="12.75" customHeight="1">
      <c r="A8" s="126" t="s">
        <v>93</v>
      </c>
      <c r="B8" s="114"/>
      <c r="C8" s="17"/>
      <c r="D8" s="17"/>
      <c r="E8" s="17"/>
      <c r="F8" s="17"/>
      <c r="G8" s="17"/>
      <c r="H8" s="17"/>
      <c r="I8" s="17"/>
      <c r="J8" s="115"/>
      <c r="K8" s="115"/>
      <c r="L8" s="115"/>
      <c r="M8" s="115"/>
      <c r="N8" s="17"/>
      <c r="O8" s="17"/>
      <c r="P8" s="17"/>
      <c r="Q8" s="115"/>
      <c r="R8" s="127"/>
    </row>
    <row r="9" spans="1:18" ht="12.75" customHeight="1">
      <c r="A9" s="128" t="s">
        <v>98</v>
      </c>
      <c r="B9" s="116"/>
      <c r="C9" s="115" t="s">
        <v>99</v>
      </c>
      <c r="D9" s="115">
        <v>13</v>
      </c>
      <c r="E9" s="115"/>
      <c r="F9" s="115"/>
      <c r="G9" s="115">
        <v>14</v>
      </c>
      <c r="H9" s="117">
        <f>(G9/6)</f>
        <v>2.3333333333333335</v>
      </c>
      <c r="I9" s="118">
        <f>SUM(D9:F9)+H9</f>
        <v>15.333333333333334</v>
      </c>
      <c r="J9" s="119">
        <f>857+965+123+15</f>
        <v>1960</v>
      </c>
      <c r="K9" s="115">
        <f>SUM(L9:N9)</f>
        <v>461</v>
      </c>
      <c r="L9" s="115">
        <v>77</v>
      </c>
      <c r="M9" s="115">
        <f>105+15</f>
        <v>120</v>
      </c>
      <c r="N9" s="115">
        <v>264</v>
      </c>
      <c r="O9" s="120">
        <f>N9/I9</f>
        <v>17.217391304347824</v>
      </c>
      <c r="P9" s="120">
        <f>K9/I9</f>
        <v>30.065217391304348</v>
      </c>
      <c r="Q9" s="120">
        <f>(J9/8.5)/I9</f>
        <v>15.038363171355499</v>
      </c>
      <c r="R9" s="129">
        <f>J9/((I9*0.95)*6)</f>
        <v>22.42562929061785</v>
      </c>
    </row>
    <row r="10" spans="1:18" ht="12.75">
      <c r="A10" s="128" t="s">
        <v>100</v>
      </c>
      <c r="B10" s="116"/>
      <c r="C10" s="115" t="s">
        <v>99</v>
      </c>
      <c r="D10" s="115">
        <v>4.5</v>
      </c>
      <c r="E10" s="115">
        <v>1</v>
      </c>
      <c r="F10" s="115"/>
      <c r="G10" s="115">
        <v>2</v>
      </c>
      <c r="H10" s="117">
        <f>(G10/6)</f>
        <v>0.3333333333333333</v>
      </c>
      <c r="I10" s="118">
        <f>SUM(D10:F10)+H10</f>
        <v>5.833333333333333</v>
      </c>
      <c r="J10" s="119">
        <f>320+315+66+15</f>
        <v>716</v>
      </c>
      <c r="K10" s="115">
        <f>SUM(L10:N10)</f>
        <v>52</v>
      </c>
      <c r="L10" s="115">
        <f>3+1</f>
        <v>4</v>
      </c>
      <c r="M10" s="115">
        <f>11+3</f>
        <v>14</v>
      </c>
      <c r="N10" s="115">
        <f>18+16</f>
        <v>34</v>
      </c>
      <c r="O10" s="120">
        <f>N10/I10</f>
        <v>5.828571428571429</v>
      </c>
      <c r="P10" s="120">
        <f>K10/I10</f>
        <v>8.914285714285715</v>
      </c>
      <c r="Q10" s="120">
        <f>(J10/8.5)/I10</f>
        <v>14.440336134453782</v>
      </c>
      <c r="R10" s="129">
        <f>J10/((I10*0.95)*6)</f>
        <v>21.533834586466167</v>
      </c>
    </row>
    <row r="11" spans="1:18" ht="12.75">
      <c r="A11" s="128"/>
      <c r="B11" s="116"/>
      <c r="C11" s="115"/>
      <c r="D11" s="115"/>
      <c r="E11" s="115"/>
      <c r="F11" s="115"/>
      <c r="G11" s="115"/>
      <c r="H11" s="117"/>
      <c r="I11" s="118"/>
      <c r="J11" s="119"/>
      <c r="K11" s="115"/>
      <c r="L11" s="115"/>
      <c r="M11" s="115"/>
      <c r="N11" s="115"/>
      <c r="O11" s="120"/>
      <c r="P11" s="120"/>
      <c r="Q11" s="120"/>
      <c r="R11" s="129"/>
    </row>
    <row r="12" spans="1:18" ht="12.75" customHeight="1">
      <c r="A12" s="128" t="s">
        <v>101</v>
      </c>
      <c r="B12" s="116"/>
      <c r="C12" s="115" t="s">
        <v>102</v>
      </c>
      <c r="D12" s="115">
        <v>9.5</v>
      </c>
      <c r="E12" s="118">
        <v>1.83</v>
      </c>
      <c r="F12" s="115"/>
      <c r="G12" s="115">
        <v>5</v>
      </c>
      <c r="H12" s="117">
        <f>(G12/6)</f>
        <v>0.8333333333333334</v>
      </c>
      <c r="I12" s="118">
        <f>SUM(D12:F12)+H12</f>
        <v>12.163333333333334</v>
      </c>
      <c r="J12" s="119">
        <f>515+514+87+84+39</f>
        <v>1239</v>
      </c>
      <c r="K12" s="115">
        <f>SUM(L12:N12)</f>
        <v>144</v>
      </c>
      <c r="L12" s="115">
        <f>31+3</f>
        <v>34</v>
      </c>
      <c r="M12" s="115">
        <f>25+5</f>
        <v>30</v>
      </c>
      <c r="N12" s="115">
        <f>63+17</f>
        <v>80</v>
      </c>
      <c r="O12" s="120">
        <f>N12/I12</f>
        <v>6.577144423129624</v>
      </c>
      <c r="P12" s="120">
        <f>K12/I12</f>
        <v>11.838859961633323</v>
      </c>
      <c r="Q12" s="120">
        <f>(J12/8.5)/I12</f>
        <v>11.983944029790594</v>
      </c>
      <c r="R12" s="129">
        <f>J12/((I12*0.95)*6)</f>
        <v>17.870793728635096</v>
      </c>
    </row>
    <row r="13" spans="1:18" ht="12.75" customHeight="1">
      <c r="A13" s="128" t="s">
        <v>103</v>
      </c>
      <c r="B13" s="116"/>
      <c r="C13" s="115" t="s">
        <v>102</v>
      </c>
      <c r="D13" s="115">
        <v>5.5</v>
      </c>
      <c r="E13" s="115">
        <v>1</v>
      </c>
      <c r="F13" s="115"/>
      <c r="G13" s="115">
        <v>9</v>
      </c>
      <c r="H13" s="117">
        <f>(G13/6)</f>
        <v>1.5</v>
      </c>
      <c r="I13" s="118">
        <f>SUM(D13:F13)+H13</f>
        <v>8</v>
      </c>
      <c r="J13" s="119">
        <f>371+310+35+15+14</f>
        <v>745</v>
      </c>
      <c r="K13" s="115">
        <f>SUM(L13:N13)</f>
        <v>50</v>
      </c>
      <c r="L13" s="115">
        <f>4</f>
        <v>4</v>
      </c>
      <c r="M13" s="115">
        <f>6+8</f>
        <v>14</v>
      </c>
      <c r="N13" s="115">
        <f>17+15</f>
        <v>32</v>
      </c>
      <c r="O13" s="120">
        <f>N13/I13</f>
        <v>4</v>
      </c>
      <c r="P13" s="120">
        <f>K13/I13</f>
        <v>6.25</v>
      </c>
      <c r="Q13" s="120">
        <f>(J13/8.5)/I13</f>
        <v>10.955882352941176</v>
      </c>
      <c r="R13" s="129">
        <f>J13/((I13*0.95)*6)</f>
        <v>16.337719298245617</v>
      </c>
    </row>
    <row r="14" spans="1:18" ht="12.75">
      <c r="A14" s="128" t="s">
        <v>104</v>
      </c>
      <c r="B14" s="116"/>
      <c r="C14" s="115" t="s">
        <v>102</v>
      </c>
      <c r="D14" s="115">
        <v>7.5</v>
      </c>
      <c r="E14" s="115"/>
      <c r="F14" s="115"/>
      <c r="G14" s="115">
        <v>14</v>
      </c>
      <c r="H14" s="117">
        <f>(G14/6)</f>
        <v>2.3333333333333335</v>
      </c>
      <c r="I14" s="118">
        <f>SUM(D14:F14)+H14</f>
        <v>9.833333333333334</v>
      </c>
      <c r="J14" s="119">
        <f>350+357+95+29-13+57-12-2+3-1</f>
        <v>863</v>
      </c>
      <c r="K14" s="115">
        <f>SUM(L14:N14)</f>
        <v>20</v>
      </c>
      <c r="L14" s="115">
        <f>0+1</f>
        <v>1</v>
      </c>
      <c r="M14" s="115">
        <f>3+1</f>
        <v>4</v>
      </c>
      <c r="N14" s="115">
        <f>7+8</f>
        <v>15</v>
      </c>
      <c r="O14" s="120">
        <f>N14/I14</f>
        <v>1.5254237288135593</v>
      </c>
      <c r="P14" s="120">
        <f>K14/I14</f>
        <v>2.0338983050847457</v>
      </c>
      <c r="Q14" s="120">
        <f>(J14/8.5)/I14</f>
        <v>10.325024925224326</v>
      </c>
      <c r="R14" s="129">
        <f>J14/((I14*0.95)*6)</f>
        <v>15.396966993755576</v>
      </c>
    </row>
    <row r="15" spans="1:18" ht="12.75">
      <c r="A15" s="128" t="s">
        <v>105</v>
      </c>
      <c r="B15" s="116"/>
      <c r="C15" s="115" t="s">
        <v>102</v>
      </c>
      <c r="D15" s="115">
        <v>3</v>
      </c>
      <c r="E15" s="115">
        <v>1</v>
      </c>
      <c r="F15" s="115"/>
      <c r="G15" s="115">
        <v>3</v>
      </c>
      <c r="H15" s="117">
        <f>(G15/6)</f>
        <v>0.5</v>
      </c>
      <c r="I15" s="118">
        <f>SUM(D15:F15)+H15</f>
        <v>4.5</v>
      </c>
      <c r="J15" s="119">
        <f>264+253+48+15</f>
        <v>580</v>
      </c>
      <c r="K15" s="115">
        <f>SUM(L15:N15)</f>
        <v>25</v>
      </c>
      <c r="L15" s="115">
        <f>1+1</f>
        <v>2</v>
      </c>
      <c r="M15" s="115">
        <f>3+2</f>
        <v>5</v>
      </c>
      <c r="N15" s="115">
        <f>12+6</f>
        <v>18</v>
      </c>
      <c r="O15" s="120">
        <f>N15/I15</f>
        <v>4</v>
      </c>
      <c r="P15" s="120">
        <f>K15/I15</f>
        <v>5.555555555555555</v>
      </c>
      <c r="Q15" s="120">
        <f>(J15/8.5)/I15</f>
        <v>15.163398692810457</v>
      </c>
      <c r="R15" s="129">
        <f>J15/((I15*0.95)*6)</f>
        <v>22.612085769980506</v>
      </c>
    </row>
    <row r="16" spans="1:18" ht="12.75">
      <c r="A16" s="128" t="s">
        <v>106</v>
      </c>
      <c r="B16" s="116"/>
      <c r="C16" s="115" t="s">
        <v>102</v>
      </c>
      <c r="D16" s="115">
        <v>3.5</v>
      </c>
      <c r="E16" s="115">
        <v>1</v>
      </c>
      <c r="F16" s="115"/>
      <c r="G16" s="115">
        <v>0</v>
      </c>
      <c r="H16" s="117">
        <f>(G16/6)</f>
        <v>0</v>
      </c>
      <c r="I16" s="118">
        <f>SUM(D16:F16)+H16</f>
        <v>4.5</v>
      </c>
      <c r="J16" s="119">
        <f>183+225+20+12-2+52-6-6</f>
        <v>478</v>
      </c>
      <c r="K16" s="115">
        <f>SUM(L16:N16)</f>
        <v>20</v>
      </c>
      <c r="L16" s="115">
        <f>2+1</f>
        <v>3</v>
      </c>
      <c r="M16" s="115">
        <f>3+4</f>
        <v>7</v>
      </c>
      <c r="N16" s="115">
        <f>4+6</f>
        <v>10</v>
      </c>
      <c r="O16" s="120">
        <f>N16/I16</f>
        <v>2.2222222222222223</v>
      </c>
      <c r="P16" s="120">
        <f>K16/I16</f>
        <v>4.444444444444445</v>
      </c>
      <c r="Q16" s="120">
        <f>(J16/8.5)/I16</f>
        <v>12.49673202614379</v>
      </c>
      <c r="R16" s="129">
        <f>J16/((I16*0.95)*6)</f>
        <v>18.635477582846004</v>
      </c>
    </row>
    <row r="17" spans="1:18" ht="12.75">
      <c r="A17" s="128"/>
      <c r="B17" s="116"/>
      <c r="C17" s="115"/>
      <c r="D17" s="115"/>
      <c r="E17" s="115"/>
      <c r="F17" s="115"/>
      <c r="G17" s="115"/>
      <c r="H17" s="117"/>
      <c r="I17" s="118"/>
      <c r="J17" s="119"/>
      <c r="K17" s="115"/>
      <c r="L17" s="115"/>
      <c r="M17" s="115"/>
      <c r="N17" s="115"/>
      <c r="O17" s="120"/>
      <c r="P17" s="120"/>
      <c r="Q17" s="120"/>
      <c r="R17" s="129"/>
    </row>
    <row r="18" spans="1:18" ht="12.75">
      <c r="A18" s="128" t="s">
        <v>107</v>
      </c>
      <c r="B18" s="116"/>
      <c r="C18" s="115" t="s">
        <v>108</v>
      </c>
      <c r="D18" s="115">
        <v>6.5</v>
      </c>
      <c r="E18" s="115">
        <v>1.5</v>
      </c>
      <c r="F18" s="115">
        <v>1</v>
      </c>
      <c r="G18" s="115">
        <v>4.5</v>
      </c>
      <c r="H18" s="117">
        <f>(G18/6)</f>
        <v>0.75</v>
      </c>
      <c r="I18" s="118">
        <f>SUM(D18:F18)+H18</f>
        <v>9.75</v>
      </c>
      <c r="J18" s="119">
        <f>407.5+395+26-14+15+30-5-8</f>
        <v>846.5</v>
      </c>
      <c r="K18" s="115">
        <f>SUM(L18:N18)</f>
        <v>243</v>
      </c>
      <c r="L18" s="115">
        <f>81</f>
        <v>81</v>
      </c>
      <c r="M18" s="115">
        <f>69</f>
        <v>69</v>
      </c>
      <c r="N18" s="115">
        <f>89+4</f>
        <v>93</v>
      </c>
      <c r="O18" s="120">
        <f>N18/I18</f>
        <v>9.538461538461538</v>
      </c>
      <c r="P18" s="120">
        <f>K18/I18</f>
        <v>24.923076923076923</v>
      </c>
      <c r="Q18" s="120">
        <f>(J18/8.5)/I18</f>
        <v>10.214177978883862</v>
      </c>
      <c r="R18" s="129">
        <f>J18/((I18*0.95)*6)</f>
        <v>15.231668915879442</v>
      </c>
    </row>
    <row r="19" spans="1:18" ht="12.75">
      <c r="A19" s="128" t="s">
        <v>109</v>
      </c>
      <c r="B19" s="116"/>
      <c r="C19" s="115" t="s">
        <v>108</v>
      </c>
      <c r="D19" s="115">
        <v>6</v>
      </c>
      <c r="E19" s="115"/>
      <c r="F19" s="115">
        <v>1</v>
      </c>
      <c r="G19" s="115">
        <v>9.5</v>
      </c>
      <c r="H19" s="117">
        <f>(G19/6)</f>
        <v>1.5833333333333333</v>
      </c>
      <c r="I19" s="118">
        <f>SUM(D19:F19)+H19</f>
        <v>8.583333333333334</v>
      </c>
      <c r="J19" s="119">
        <f>372.5+314+35+40+44+8</f>
        <v>813.5</v>
      </c>
      <c r="K19" s="115">
        <f>SUM(L19:N19)</f>
        <v>63</v>
      </c>
      <c r="L19" s="115">
        <f>16+1</f>
        <v>17</v>
      </c>
      <c r="M19" s="115">
        <f>13+3</f>
        <v>16</v>
      </c>
      <c r="N19" s="115">
        <f>29+1</f>
        <v>30</v>
      </c>
      <c r="O19" s="120">
        <f>N19/I19</f>
        <v>3.495145631067961</v>
      </c>
      <c r="P19" s="120">
        <f>K19/I19</f>
        <v>7.339805825242718</v>
      </c>
      <c r="Q19" s="120">
        <f>(J19/8.5)/I19</f>
        <v>11.150199885779553</v>
      </c>
      <c r="R19" s="129">
        <f>J19/((I19*0.95)*6)</f>
        <v>16.62749105774144</v>
      </c>
    </row>
    <row r="20" spans="1:18" ht="12.75">
      <c r="A20" s="128" t="s">
        <v>56</v>
      </c>
      <c r="B20" s="116"/>
      <c r="C20" s="115" t="s">
        <v>108</v>
      </c>
      <c r="D20" s="115">
        <v>10.5</v>
      </c>
      <c r="E20" s="115"/>
      <c r="F20" s="115"/>
      <c r="G20" s="115">
        <v>2</v>
      </c>
      <c r="H20" s="117">
        <f>(G20/6)</f>
        <v>0.3333333333333333</v>
      </c>
      <c r="I20" s="118">
        <f>SUM(D20:F20)+H20</f>
        <v>10.833333333333334</v>
      </c>
      <c r="J20" s="119">
        <f>208+396+194+285+25-25</f>
        <v>1083</v>
      </c>
      <c r="K20" s="115">
        <f>SUM(L20:N20)</f>
        <v>120</v>
      </c>
      <c r="L20" s="115">
        <f>23+5</f>
        <v>28</v>
      </c>
      <c r="M20" s="115">
        <f>25+2</f>
        <v>27</v>
      </c>
      <c r="N20" s="115">
        <f>52+13</f>
        <v>65</v>
      </c>
      <c r="O20" s="120">
        <f>N20/I20</f>
        <v>6</v>
      </c>
      <c r="P20" s="120">
        <f>K20/I20</f>
        <v>11.076923076923077</v>
      </c>
      <c r="Q20" s="120">
        <f>(J20/8.5)/I20</f>
        <v>11.761085972850678</v>
      </c>
      <c r="R20" s="129">
        <f>J20/((I20*0.95)*6)</f>
        <v>17.53846153846154</v>
      </c>
    </row>
    <row r="21" spans="1:18" ht="12.75">
      <c r="A21" s="128" t="s">
        <v>111</v>
      </c>
      <c r="B21" s="116"/>
      <c r="C21" s="115" t="s">
        <v>108</v>
      </c>
      <c r="D21" s="115">
        <v>4</v>
      </c>
      <c r="E21" s="115">
        <v>1</v>
      </c>
      <c r="F21" s="115"/>
      <c r="G21" s="115">
        <f>1</f>
        <v>1</v>
      </c>
      <c r="H21" s="117">
        <f>(G21/6)</f>
        <v>0.16666666666666666</v>
      </c>
      <c r="I21" s="118">
        <f>SUM(D21:F21)+H21</f>
        <v>5.166666666666667</v>
      </c>
      <c r="J21" s="119">
        <f>199+172+77+30</f>
        <v>478</v>
      </c>
      <c r="K21" s="115">
        <f>SUM(L21:N21)</f>
        <v>37</v>
      </c>
      <c r="L21" s="115">
        <f>6+2</f>
        <v>8</v>
      </c>
      <c r="M21" s="115">
        <f>12+1</f>
        <v>13</v>
      </c>
      <c r="N21" s="115">
        <f>14+2</f>
        <v>16</v>
      </c>
      <c r="O21" s="120">
        <f>N21/I21</f>
        <v>3.096774193548387</v>
      </c>
      <c r="P21" s="120">
        <f>K21/I21</f>
        <v>7.161290322580645</v>
      </c>
      <c r="Q21" s="120">
        <f>(J21/8.5)/I21</f>
        <v>10.8842504743833</v>
      </c>
      <c r="R21" s="129">
        <f>J21/((I21*0.95)*6)</f>
        <v>16.230899830220714</v>
      </c>
    </row>
    <row r="22" spans="1:18" ht="12.75">
      <c r="A22" s="128" t="s">
        <v>112</v>
      </c>
      <c r="B22" s="116"/>
      <c r="C22" s="115" t="s">
        <v>108</v>
      </c>
      <c r="D22" s="115">
        <v>5.75</v>
      </c>
      <c r="E22" s="115">
        <v>2</v>
      </c>
      <c r="F22" s="115"/>
      <c r="G22" s="115">
        <v>3</v>
      </c>
      <c r="H22" s="117">
        <f>(G22/6)</f>
        <v>0.5</v>
      </c>
      <c r="I22" s="118">
        <f>SUM(D22:F22)+H22</f>
        <v>8.25</v>
      </c>
      <c r="J22" s="119">
        <f>535+559+55+44+5-19</f>
        <v>1179</v>
      </c>
      <c r="K22" s="115">
        <f>SUM(L22:N22)</f>
        <v>190</v>
      </c>
      <c r="L22" s="115">
        <f>29+1</f>
        <v>30</v>
      </c>
      <c r="M22" s="115">
        <f>50+1</f>
        <v>51</v>
      </c>
      <c r="N22" s="115">
        <f>108+1</f>
        <v>109</v>
      </c>
      <c r="O22" s="120">
        <f>N22/I22</f>
        <v>13.212121212121213</v>
      </c>
      <c r="P22" s="120">
        <f>K22/I22</f>
        <v>23.03030303030303</v>
      </c>
      <c r="Q22" s="120">
        <f>(J22/8.5)/I22</f>
        <v>16.81283422459893</v>
      </c>
      <c r="R22" s="129">
        <f>J22/((I22*0.95)*6)</f>
        <v>25.07177033492823</v>
      </c>
    </row>
    <row r="23" spans="1:18" ht="12.75">
      <c r="A23" s="128"/>
      <c r="B23" s="116"/>
      <c r="C23" s="115"/>
      <c r="D23" s="115"/>
      <c r="E23" s="115"/>
      <c r="F23" s="115"/>
      <c r="G23" s="115"/>
      <c r="H23" s="117"/>
      <c r="I23" s="118"/>
      <c r="J23" s="119"/>
      <c r="K23" s="115"/>
      <c r="L23" s="115"/>
      <c r="M23" s="115"/>
      <c r="N23" s="115"/>
      <c r="O23" s="120"/>
      <c r="P23" s="120"/>
      <c r="Q23" s="120"/>
      <c r="R23" s="129"/>
    </row>
    <row r="24" spans="1:18" ht="12.75">
      <c r="A24" s="128" t="s">
        <v>113</v>
      </c>
      <c r="B24" s="116"/>
      <c r="C24" s="115" t="s">
        <v>114</v>
      </c>
      <c r="D24" s="115">
        <v>5.5</v>
      </c>
      <c r="E24" s="115"/>
      <c r="F24" s="115">
        <v>1</v>
      </c>
      <c r="G24" s="115">
        <v>6.41</v>
      </c>
      <c r="H24" s="117">
        <f>(G24/6)</f>
        <v>1.0683333333333334</v>
      </c>
      <c r="I24" s="118">
        <f>SUM(D24:F24)+H24</f>
        <v>7.568333333333333</v>
      </c>
      <c r="J24" s="119">
        <f>292+208+27+97+33</f>
        <v>657</v>
      </c>
      <c r="K24" s="115">
        <f>SUM(L24:N24)</f>
        <v>90</v>
      </c>
      <c r="L24" s="115">
        <f>18+2</f>
        <v>20</v>
      </c>
      <c r="M24" s="115">
        <f>16+4</f>
        <v>20</v>
      </c>
      <c r="N24" s="115">
        <f>43+7</f>
        <v>50</v>
      </c>
      <c r="O24" s="120">
        <f>N24/I24</f>
        <v>6.60647434485796</v>
      </c>
      <c r="P24" s="120">
        <f>K24/I24</f>
        <v>11.89165382074433</v>
      </c>
      <c r="Q24" s="120">
        <f>(J24/8.5)/I24</f>
        <v>10.212832104874542</v>
      </c>
      <c r="R24" s="129">
        <f>J24/((I24*0.95)*6)</f>
        <v>15.229661910777827</v>
      </c>
    </row>
    <row r="25" spans="1:18" ht="12.75">
      <c r="A25" s="128" t="s">
        <v>115</v>
      </c>
      <c r="B25" s="116"/>
      <c r="C25" s="115" t="s">
        <v>114</v>
      </c>
      <c r="D25" s="115">
        <v>7</v>
      </c>
      <c r="E25" s="115">
        <v>1</v>
      </c>
      <c r="F25" s="115"/>
      <c r="G25" s="115">
        <f>2</f>
        <v>2</v>
      </c>
      <c r="H25" s="117">
        <f>(G25/6)</f>
        <v>0.3333333333333333</v>
      </c>
      <c r="I25" s="118">
        <f>SUM(D25:F25)+H25</f>
        <v>8.333333333333334</v>
      </c>
      <c r="J25" s="119">
        <f>450+445+64+70+34+1</f>
        <v>1064</v>
      </c>
      <c r="K25" s="115">
        <f>SUM(L25:N25)</f>
        <v>105</v>
      </c>
      <c r="L25" s="115">
        <f>15+1</f>
        <v>16</v>
      </c>
      <c r="M25" s="115">
        <f>18+8</f>
        <v>26</v>
      </c>
      <c r="N25" s="115">
        <f>45+18</f>
        <v>63</v>
      </c>
      <c r="O25" s="120">
        <f>N25/I25</f>
        <v>7.56</v>
      </c>
      <c r="P25" s="120">
        <f>K25/I25</f>
        <v>12.6</v>
      </c>
      <c r="Q25" s="120">
        <f>(J25/8.5)/I25</f>
        <v>15.021176470588234</v>
      </c>
      <c r="R25" s="129">
        <f>J25/((I25*0.95)*6)</f>
        <v>22.4</v>
      </c>
    </row>
    <row r="26" spans="1:18" ht="12.75">
      <c r="A26" s="128" t="s">
        <v>116</v>
      </c>
      <c r="B26" s="116"/>
      <c r="C26" s="115" t="s">
        <v>114</v>
      </c>
      <c r="D26" s="115">
        <v>6</v>
      </c>
      <c r="E26" s="115">
        <v>0.5</v>
      </c>
      <c r="F26" s="115"/>
      <c r="G26" s="115">
        <v>5</v>
      </c>
      <c r="H26" s="117">
        <f>(G26/6)</f>
        <v>0.8333333333333334</v>
      </c>
      <c r="I26" s="118">
        <f>SUM(D26:F26)+H26</f>
        <v>7.333333333333333</v>
      </c>
      <c r="J26" s="119">
        <f>316+297+28+71+82+1</f>
        <v>795</v>
      </c>
      <c r="K26" s="115">
        <f>SUM(L26:N26)</f>
        <v>99</v>
      </c>
      <c r="L26" s="115">
        <f>15+1</f>
        <v>16</v>
      </c>
      <c r="M26" s="115">
        <f>26+5</f>
        <v>31</v>
      </c>
      <c r="N26" s="115">
        <f>39+13</f>
        <v>52</v>
      </c>
      <c r="O26" s="120">
        <f>N26/I26</f>
        <v>7.090909090909091</v>
      </c>
      <c r="P26" s="120">
        <f>K26/I26</f>
        <v>13.5</v>
      </c>
      <c r="Q26" s="120">
        <f>(J26/8.5)/I26</f>
        <v>12.754010695187166</v>
      </c>
      <c r="R26" s="129">
        <f>J26/((I26*0.95)*6)</f>
        <v>19.019138755980862</v>
      </c>
    </row>
    <row r="27" spans="1:18" ht="13.5" thickBot="1">
      <c r="A27" s="130" t="s">
        <v>117</v>
      </c>
      <c r="B27" s="131"/>
      <c r="C27" s="132" t="s">
        <v>114</v>
      </c>
      <c r="D27" s="132">
        <v>6.5</v>
      </c>
      <c r="E27" s="132"/>
      <c r="F27" s="132"/>
      <c r="G27" s="132">
        <v>5</v>
      </c>
      <c r="H27" s="133">
        <f>(G27/6)</f>
        <v>0.8333333333333334</v>
      </c>
      <c r="I27" s="134">
        <f>SUM(D27:F27)+H27</f>
        <v>7.333333333333333</v>
      </c>
      <c r="J27" s="135">
        <f>379+410+79+14+20-14</f>
        <v>888</v>
      </c>
      <c r="K27" s="132">
        <f>SUM(L27:N27)</f>
        <v>49</v>
      </c>
      <c r="L27" s="132">
        <f>1+1</f>
        <v>2</v>
      </c>
      <c r="M27" s="132">
        <f>10+1</f>
        <v>11</v>
      </c>
      <c r="N27" s="132">
        <f>24+12</f>
        <v>36</v>
      </c>
      <c r="O27" s="136">
        <f>N27/I27</f>
        <v>4.909090909090909</v>
      </c>
      <c r="P27" s="136">
        <f>K27/I27</f>
        <v>6.681818181818182</v>
      </c>
      <c r="Q27" s="136">
        <f>(J27/8.5)/I27</f>
        <v>14.245989304812834</v>
      </c>
      <c r="R27" s="137">
        <f>J27/((I27*0.95)*6)</f>
        <v>21.24401913875598</v>
      </c>
    </row>
    <row r="28" spans="1:18" ht="13.5" thickBot="1">
      <c r="A28" s="55"/>
      <c r="B28" s="56"/>
      <c r="C28" s="43"/>
      <c r="D28" s="44"/>
      <c r="E28" s="44"/>
      <c r="F28" s="44"/>
      <c r="G28" s="44"/>
      <c r="H28" s="50"/>
      <c r="I28" s="51"/>
      <c r="J28" s="52"/>
      <c r="K28" s="57"/>
      <c r="L28" s="57"/>
      <c r="M28" s="57"/>
      <c r="N28" s="57"/>
      <c r="O28" s="53"/>
      <c r="P28" s="53"/>
      <c r="Q28" s="53"/>
      <c r="R28" s="54"/>
    </row>
    <row r="29" spans="1:18" ht="13.5" thickBot="1">
      <c r="A29" s="138" t="s">
        <v>118</v>
      </c>
      <c r="B29" s="139"/>
      <c r="C29" s="95"/>
      <c r="D29" s="140">
        <f>SUM(D9:D27)</f>
        <v>104.25</v>
      </c>
      <c r="E29" s="140">
        <f>SUM(E9:E27)</f>
        <v>11.83</v>
      </c>
      <c r="F29" s="140">
        <f>SUM(F9:F27)</f>
        <v>3</v>
      </c>
      <c r="G29" s="140"/>
      <c r="H29" s="97">
        <f>SUM(H9:H27)</f>
        <v>14.235000000000003</v>
      </c>
      <c r="I29" s="141">
        <f>SUM(D29:H29)</f>
        <v>133.315</v>
      </c>
      <c r="J29" s="142">
        <f>SUM(J9:J27)</f>
        <v>14385</v>
      </c>
      <c r="K29" s="143">
        <f>SUM(K9:K27)</f>
        <v>1768</v>
      </c>
      <c r="L29" s="144">
        <f>SUM(L9:L27)</f>
        <v>343</v>
      </c>
      <c r="M29" s="144">
        <f>SUM(M9:M27)</f>
        <v>458</v>
      </c>
      <c r="N29" s="143">
        <f>SUM(N9:N27)</f>
        <v>967</v>
      </c>
      <c r="O29" s="160">
        <f>N29/I29</f>
        <v>7.253497355886434</v>
      </c>
      <c r="P29" s="160">
        <f>K29/I29</f>
        <v>13.261823500731351</v>
      </c>
      <c r="Q29" s="160">
        <f>(J29/8.5)/I29</f>
        <v>12.694392537797476</v>
      </c>
      <c r="R29" s="161">
        <f>J29/((I29*0.95)*6)</f>
        <v>18.93023448618922</v>
      </c>
    </row>
    <row r="30" spans="1:18" ht="13.5" thickBot="1">
      <c r="A30" s="69"/>
      <c r="B30" s="70"/>
      <c r="D30" s="7"/>
      <c r="E30" s="7"/>
      <c r="F30" s="7"/>
      <c r="G30" s="7"/>
      <c r="H30" s="71"/>
      <c r="I30" s="72"/>
      <c r="J30" s="24"/>
      <c r="K30" s="73"/>
      <c r="L30" s="73"/>
      <c r="M30" s="73"/>
      <c r="N30" s="73"/>
      <c r="O30" s="74"/>
      <c r="P30" s="74"/>
      <c r="Q30" s="74"/>
      <c r="R30" s="74"/>
    </row>
    <row r="31" spans="1:18" ht="13.5" thickBot="1">
      <c r="A31" s="75" t="s">
        <v>119</v>
      </c>
      <c r="B31" s="76"/>
      <c r="C31" s="76"/>
      <c r="D31" s="77"/>
      <c r="E31" s="77"/>
      <c r="F31" s="77"/>
      <c r="G31" s="77"/>
      <c r="H31" s="78"/>
      <c r="I31" s="77"/>
      <c r="J31" s="78"/>
      <c r="K31" s="79"/>
      <c r="L31" s="79"/>
      <c r="M31" s="79"/>
      <c r="N31" s="79"/>
      <c r="O31" s="80"/>
      <c r="P31" s="80"/>
      <c r="Q31" s="80"/>
      <c r="R31" s="81"/>
    </row>
    <row r="32" spans="1:18" ht="12.75">
      <c r="A32" s="168" t="s">
        <v>120</v>
      </c>
      <c r="B32" s="10"/>
      <c r="C32" s="10"/>
      <c r="D32" s="125">
        <v>5</v>
      </c>
      <c r="E32" s="125"/>
      <c r="F32" s="125"/>
      <c r="G32" s="125">
        <v>5</v>
      </c>
      <c r="H32" s="169">
        <f>(G32/6)</f>
        <v>0.8333333333333334</v>
      </c>
      <c r="I32" s="170">
        <f>SUM(D32:F32)+H32</f>
        <v>5.833333333333333</v>
      </c>
      <c r="J32" s="171">
        <f>181+230+61</f>
        <v>472</v>
      </c>
      <c r="K32" s="125">
        <f>SUM(L32:N32)</f>
        <v>54</v>
      </c>
      <c r="L32" s="125">
        <f>12</f>
        <v>12</v>
      </c>
      <c r="M32" s="125">
        <f>11+1</f>
        <v>12</v>
      </c>
      <c r="N32" s="125">
        <f>27+3</f>
        <v>30</v>
      </c>
      <c r="O32" s="172">
        <f>N32/I32</f>
        <v>5.142857142857143</v>
      </c>
      <c r="P32" s="172">
        <f>K32/I32</f>
        <v>9.257142857142858</v>
      </c>
      <c r="Q32" s="172">
        <f>(J32/8.5)/I32</f>
        <v>9.519327731092437</v>
      </c>
      <c r="R32" s="173">
        <f>J32/((I32*0.95)*6)</f>
        <v>14.19548872180451</v>
      </c>
    </row>
    <row r="33" spans="1:18" ht="12.75">
      <c r="A33" s="174" t="s">
        <v>121</v>
      </c>
      <c r="B33" s="17"/>
      <c r="C33" s="17"/>
      <c r="D33" s="115">
        <v>16.5</v>
      </c>
      <c r="E33" s="115">
        <v>1</v>
      </c>
      <c r="F33" s="115"/>
      <c r="G33" s="115">
        <f>23+44.93+18.29</f>
        <v>86.22</v>
      </c>
      <c r="H33" s="117">
        <f>(G33/6)</f>
        <v>14.37</v>
      </c>
      <c r="I33" s="118">
        <f>SUM(D33:F33)+H33</f>
        <v>31.869999999999997</v>
      </c>
      <c r="J33" s="167">
        <f>704+695.75+99+28</f>
        <v>1526.75</v>
      </c>
      <c r="K33" s="115">
        <f>SUM(L33:N33)</f>
        <v>200</v>
      </c>
      <c r="L33" s="115">
        <f>57+10</f>
        <v>67</v>
      </c>
      <c r="M33" s="115">
        <f>47+7</f>
        <v>54</v>
      </c>
      <c r="N33" s="115">
        <f>75+4</f>
        <v>79</v>
      </c>
      <c r="O33" s="120">
        <f>N33/I33</f>
        <v>2.478820207091309</v>
      </c>
      <c r="P33" s="120">
        <f>K33/I33</f>
        <v>6.2754941951678695</v>
      </c>
      <c r="Q33" s="120">
        <f>(J33/8.5)/I33</f>
        <v>5.635947507336792</v>
      </c>
      <c r="R33" s="129">
        <f>J33/((I33*0.95)*6)</f>
        <v>8.404483124975918</v>
      </c>
    </row>
    <row r="34" spans="1:18" ht="12.75">
      <c r="A34" s="174" t="s">
        <v>122</v>
      </c>
      <c r="B34" s="17"/>
      <c r="C34" s="17"/>
      <c r="D34" s="115">
        <v>7</v>
      </c>
      <c r="E34" s="115">
        <v>1</v>
      </c>
      <c r="F34" s="115">
        <v>1</v>
      </c>
      <c r="G34" s="115">
        <v>17.5</v>
      </c>
      <c r="H34" s="117">
        <f>(G34/6)</f>
        <v>2.9166666666666665</v>
      </c>
      <c r="I34" s="118">
        <f>SUM(D34:F34)+H34</f>
        <v>11.916666666666666</v>
      </c>
      <c r="J34" s="166">
        <f>152+146+124+96+71</f>
        <v>589</v>
      </c>
      <c r="K34" s="115">
        <f>SUM(L34:N34)</f>
        <v>91</v>
      </c>
      <c r="L34" s="115">
        <f>29</f>
        <v>29</v>
      </c>
      <c r="M34" s="115">
        <f>23</f>
        <v>23</v>
      </c>
      <c r="N34" s="115">
        <f>39</f>
        <v>39</v>
      </c>
      <c r="O34" s="120">
        <f>N34/I34</f>
        <v>3.272727272727273</v>
      </c>
      <c r="P34" s="120">
        <f>K34/I34</f>
        <v>7.636363636363637</v>
      </c>
      <c r="Q34" s="120">
        <f>(J34/8.5)/I34</f>
        <v>5.8148909913615805</v>
      </c>
      <c r="R34" s="129">
        <f>J34/((I34*0.95)*6)</f>
        <v>8.671328671328672</v>
      </c>
    </row>
    <row r="35" spans="1:18" ht="27" thickBot="1">
      <c r="A35" s="175" t="s">
        <v>123</v>
      </c>
      <c r="B35" s="176"/>
      <c r="C35" s="176"/>
      <c r="D35" s="132">
        <v>7.5</v>
      </c>
      <c r="E35" s="132"/>
      <c r="F35" s="132">
        <f>1</f>
        <v>1</v>
      </c>
      <c r="G35" s="132">
        <f>15.5+5.56+11.52</f>
        <v>32.58</v>
      </c>
      <c r="H35" s="133">
        <f>(G35/6)</f>
        <v>5.43</v>
      </c>
      <c r="I35" s="134">
        <f>SUM(D35:F35)+H35</f>
        <v>13.93</v>
      </c>
      <c r="J35" s="177">
        <f>92.5+250+44+310+153+31.25+15+35</f>
        <v>930.75</v>
      </c>
      <c r="K35" s="132">
        <f>SUM(L35:N35)</f>
        <v>113</v>
      </c>
      <c r="L35" s="132">
        <f>29+1</f>
        <v>30</v>
      </c>
      <c r="M35" s="132">
        <f>33+1</f>
        <v>34</v>
      </c>
      <c r="N35" s="132">
        <v>49</v>
      </c>
      <c r="O35" s="136">
        <f>N35/I35</f>
        <v>3.5175879396984926</v>
      </c>
      <c r="P35" s="136">
        <f>K35/I35</f>
        <v>8.111988513998565</v>
      </c>
      <c r="Q35" s="136">
        <f>(J35/8.5)/I35</f>
        <v>7.86073223259153</v>
      </c>
      <c r="R35" s="137">
        <f>J35/((I35*0.95)*6)</f>
        <v>11.722144557373333</v>
      </c>
    </row>
    <row r="36" spans="1:18" ht="13.5" thickBot="1">
      <c r="A36" s="82"/>
      <c r="B36" s="43"/>
      <c r="C36" s="43"/>
      <c r="D36" s="44"/>
      <c r="E36" s="44"/>
      <c r="F36" s="44"/>
      <c r="G36" s="44"/>
      <c r="H36" s="50"/>
      <c r="I36" s="51"/>
      <c r="J36" s="87"/>
      <c r="K36" s="57"/>
      <c r="L36" s="57"/>
      <c r="M36" s="57"/>
      <c r="N36" s="57"/>
      <c r="O36" s="53"/>
      <c r="P36" s="53"/>
      <c r="Q36" s="53"/>
      <c r="R36" s="54"/>
    </row>
    <row r="37" spans="1:18" ht="13.5" thickBot="1">
      <c r="A37" s="145" t="s">
        <v>124</v>
      </c>
      <c r="B37" s="146"/>
      <c r="C37" s="146"/>
      <c r="D37" s="147">
        <f>SUM(D32:D35)</f>
        <v>36</v>
      </c>
      <c r="E37" s="147"/>
      <c r="F37" s="147">
        <f>SUM(F32:F35)</f>
        <v>2</v>
      </c>
      <c r="G37" s="147"/>
      <c r="H37" s="148">
        <f>SUM(H32:H35)</f>
        <v>23.55</v>
      </c>
      <c r="I37" s="149">
        <f>SUM(D37:H37)</f>
        <v>61.55</v>
      </c>
      <c r="J37" s="150">
        <f>SUM(J32:J35)</f>
        <v>3518.5</v>
      </c>
      <c r="K37" s="151">
        <f>SUM(K32:K35)</f>
        <v>458</v>
      </c>
      <c r="L37" s="151">
        <f>SUM(L32:L35)</f>
        <v>138</v>
      </c>
      <c r="M37" s="151">
        <f>SUM(M32:M35)</f>
        <v>123</v>
      </c>
      <c r="N37" s="151">
        <f>SUM(N32:N35)</f>
        <v>197</v>
      </c>
      <c r="O37" s="162">
        <f>N37/I37</f>
        <v>3.2006498781478476</v>
      </c>
      <c r="P37" s="162">
        <f>K37/I37</f>
        <v>7.44110479285134</v>
      </c>
      <c r="Q37" s="162">
        <f>(J37/8.5)/I37</f>
        <v>6.725283127060735</v>
      </c>
      <c r="R37" s="163">
        <f>J37/((I37*0.95)*6)</f>
        <v>10.02893097895022</v>
      </c>
    </row>
    <row r="38" spans="4:18" ht="13.5" thickBot="1">
      <c r="D38" s="7"/>
      <c r="E38" s="7"/>
      <c r="F38" s="7"/>
      <c r="G38" s="7"/>
      <c r="H38" s="24"/>
      <c r="I38" s="7"/>
      <c r="J38" s="24"/>
      <c r="K38" s="73"/>
      <c r="L38" s="73"/>
      <c r="M38" s="73"/>
      <c r="N38" s="73"/>
      <c r="O38" s="164"/>
      <c r="P38" s="165"/>
      <c r="Q38" s="164"/>
      <c r="R38" s="164"/>
    </row>
    <row r="39" spans="1:18" ht="13.5" thickBot="1">
      <c r="A39" s="145" t="s">
        <v>125</v>
      </c>
      <c r="B39" s="146"/>
      <c r="C39" s="146"/>
      <c r="D39" s="152">
        <f>D29+D37</f>
        <v>140.25</v>
      </c>
      <c r="E39" s="152">
        <f>E29+E37</f>
        <v>11.83</v>
      </c>
      <c r="F39" s="152">
        <f>F29+F37</f>
        <v>5</v>
      </c>
      <c r="G39" s="152"/>
      <c r="H39" s="153">
        <f aca="true" t="shared" si="0" ref="H39:N39">H29+H37</f>
        <v>37.785000000000004</v>
      </c>
      <c r="I39" s="153">
        <f t="shared" si="0"/>
        <v>194.865</v>
      </c>
      <c r="J39" s="153">
        <f t="shared" si="0"/>
        <v>17903.5</v>
      </c>
      <c r="K39" s="154">
        <f t="shared" si="0"/>
        <v>2226</v>
      </c>
      <c r="L39" s="154">
        <f t="shared" si="0"/>
        <v>481</v>
      </c>
      <c r="M39" s="154">
        <f t="shared" si="0"/>
        <v>581</v>
      </c>
      <c r="N39" s="154">
        <f t="shared" si="0"/>
        <v>1164</v>
      </c>
      <c r="O39" s="162">
        <f>N39/I39</f>
        <v>5.973366176583789</v>
      </c>
      <c r="P39" s="162">
        <f>K39/I39</f>
        <v>11.423293049033946</v>
      </c>
      <c r="Q39" s="162">
        <f>(J39/8.5)/I39</f>
        <v>10.8089914435484</v>
      </c>
      <c r="R39" s="163">
        <f>J39/((I39*0.95)*6)</f>
        <v>16.11867145090551</v>
      </c>
    </row>
    <row r="40" spans="4:16" ht="12.75">
      <c r="D40" s="7"/>
      <c r="E40" s="7"/>
      <c r="F40" s="7"/>
      <c r="G40" s="7"/>
      <c r="H40" s="7"/>
      <c r="I40" s="7"/>
      <c r="N40" s="7"/>
      <c r="O40" s="7"/>
      <c r="P40" s="7"/>
    </row>
    <row r="41" spans="1:18" ht="12.75">
      <c r="A41" s="182" t="s">
        <v>126</v>
      </c>
      <c r="B41" s="183"/>
      <c r="C41" s="183"/>
      <c r="D41" s="184"/>
      <c r="E41" s="184"/>
      <c r="F41" s="184"/>
      <c r="G41" s="184"/>
      <c r="H41" s="184"/>
      <c r="I41" s="184"/>
      <c r="J41" s="184"/>
      <c r="K41" s="184"/>
      <c r="L41" s="184"/>
      <c r="M41" s="184"/>
      <c r="N41" s="184"/>
      <c r="O41" s="184"/>
      <c r="P41" s="184"/>
      <c r="Q41" s="184"/>
      <c r="R41" s="185"/>
    </row>
    <row r="42" spans="1:18" ht="12.75">
      <c r="A42" s="186" t="s">
        <v>21</v>
      </c>
      <c r="B42" s="187"/>
      <c r="C42" s="187"/>
      <c r="D42" s="57"/>
      <c r="E42" s="57"/>
      <c r="F42" s="57"/>
      <c r="G42" s="57"/>
      <c r="H42" s="57"/>
      <c r="I42" s="57"/>
      <c r="J42" s="57"/>
      <c r="K42" s="57"/>
      <c r="L42" s="57"/>
      <c r="M42" s="57"/>
      <c r="N42" s="57"/>
      <c r="O42" s="57"/>
      <c r="P42" s="57"/>
      <c r="Q42" s="57"/>
      <c r="R42" s="188"/>
    </row>
    <row r="43" spans="1:18" ht="30" customHeight="1">
      <c r="A43" s="212" t="s">
        <v>20</v>
      </c>
      <c r="B43" s="213"/>
      <c r="C43" s="213"/>
      <c r="D43" s="213"/>
      <c r="E43" s="213"/>
      <c r="F43" s="213"/>
      <c r="G43" s="213"/>
      <c r="H43" s="213"/>
      <c r="I43" s="213"/>
      <c r="J43" s="213"/>
      <c r="K43" s="213"/>
      <c r="L43" s="213"/>
      <c r="M43" s="213"/>
      <c r="N43" s="213"/>
      <c r="O43" s="213"/>
      <c r="P43" s="213"/>
      <c r="Q43" s="213"/>
      <c r="R43" s="214"/>
    </row>
    <row r="44" spans="1:18" ht="12.75">
      <c r="A44" s="186" t="s">
        <v>27</v>
      </c>
      <c r="B44" s="187"/>
      <c r="C44" s="187"/>
      <c r="D44" s="187"/>
      <c r="E44" s="187"/>
      <c r="F44" s="187"/>
      <c r="G44" s="187"/>
      <c r="H44" s="187"/>
      <c r="I44" s="187"/>
      <c r="J44" s="57"/>
      <c r="K44" s="57"/>
      <c r="L44" s="57"/>
      <c r="M44" s="57"/>
      <c r="N44" s="187"/>
      <c r="O44" s="187"/>
      <c r="P44" s="187"/>
      <c r="Q44" s="57"/>
      <c r="R44" s="188"/>
    </row>
    <row r="45" spans="1:18" ht="19.5" customHeight="1">
      <c r="A45" s="189" t="s">
        <v>60</v>
      </c>
      <c r="B45" s="190"/>
      <c r="C45" s="190"/>
      <c r="D45" s="190"/>
      <c r="E45" s="190"/>
      <c r="F45" s="190"/>
      <c r="G45" s="190"/>
      <c r="H45" s="190"/>
      <c r="I45" s="190"/>
      <c r="J45" s="190"/>
      <c r="K45" s="190"/>
      <c r="L45" s="190"/>
      <c r="M45" s="190"/>
      <c r="N45" s="190"/>
      <c r="O45" s="190"/>
      <c r="P45" s="190"/>
      <c r="Q45" s="190"/>
      <c r="R45" s="191"/>
    </row>
    <row r="46" spans="1:18" ht="20.25" customHeight="1">
      <c r="A46" s="212" t="s">
        <v>59</v>
      </c>
      <c r="B46" s="213"/>
      <c r="C46" s="213"/>
      <c r="D46" s="213"/>
      <c r="E46" s="213"/>
      <c r="F46" s="213"/>
      <c r="G46" s="213"/>
      <c r="H46" s="213"/>
      <c r="I46" s="213"/>
      <c r="J46" s="213"/>
      <c r="K46" s="213"/>
      <c r="L46" s="213"/>
      <c r="M46" s="213"/>
      <c r="N46" s="213"/>
      <c r="O46" s="213"/>
      <c r="P46" s="213"/>
      <c r="Q46" s="213"/>
      <c r="R46" s="214"/>
    </row>
    <row r="47" spans="1:18" ht="12.75">
      <c r="A47" s="186" t="s">
        <v>29</v>
      </c>
      <c r="B47" s="187"/>
      <c r="C47" s="187"/>
      <c r="D47" s="187"/>
      <c r="E47" s="187"/>
      <c r="F47" s="187"/>
      <c r="G47" s="187"/>
      <c r="H47" s="187"/>
      <c r="I47" s="187"/>
      <c r="J47" s="57"/>
      <c r="K47" s="57"/>
      <c r="L47" s="57"/>
      <c r="M47" s="57"/>
      <c r="N47" s="187"/>
      <c r="O47" s="187"/>
      <c r="P47" s="187"/>
      <c r="Q47" s="57"/>
      <c r="R47" s="188"/>
    </row>
    <row r="48" spans="1:18" ht="12.75">
      <c r="A48" s="186" t="s">
        <v>55</v>
      </c>
      <c r="B48" s="187"/>
      <c r="C48" s="187"/>
      <c r="D48" s="187"/>
      <c r="E48" s="187"/>
      <c r="F48" s="187"/>
      <c r="G48" s="187"/>
      <c r="H48" s="187"/>
      <c r="I48" s="187"/>
      <c r="J48" s="57"/>
      <c r="K48" s="57"/>
      <c r="L48" s="57"/>
      <c r="M48" s="57"/>
      <c r="N48" s="187"/>
      <c r="O48" s="187"/>
      <c r="P48" s="187"/>
      <c r="Q48" s="57"/>
      <c r="R48" s="188"/>
    </row>
    <row r="49" spans="1:18" ht="30.75" customHeight="1">
      <c r="A49" s="212" t="s">
        <v>28</v>
      </c>
      <c r="B49" s="213"/>
      <c r="C49" s="213"/>
      <c r="D49" s="213"/>
      <c r="E49" s="213"/>
      <c r="F49" s="213"/>
      <c r="G49" s="213"/>
      <c r="H49" s="213"/>
      <c r="I49" s="213"/>
      <c r="J49" s="213"/>
      <c r="K49" s="213"/>
      <c r="L49" s="213"/>
      <c r="M49" s="213"/>
      <c r="N49" s="213"/>
      <c r="O49" s="213"/>
      <c r="P49" s="213"/>
      <c r="Q49" s="213"/>
      <c r="R49" s="214"/>
    </row>
    <row r="50" spans="1:18" ht="43.5" customHeight="1">
      <c r="A50" s="212" t="s">
        <v>57</v>
      </c>
      <c r="B50" s="213"/>
      <c r="C50" s="213"/>
      <c r="D50" s="213"/>
      <c r="E50" s="213"/>
      <c r="F50" s="213"/>
      <c r="G50" s="213"/>
      <c r="H50" s="213"/>
      <c r="I50" s="213"/>
      <c r="J50" s="213"/>
      <c r="K50" s="213"/>
      <c r="L50" s="213"/>
      <c r="M50" s="213"/>
      <c r="N50" s="213"/>
      <c r="O50" s="213"/>
      <c r="P50" s="213"/>
      <c r="Q50" s="213"/>
      <c r="R50" s="214"/>
    </row>
    <row r="51" spans="1:18" ht="12.75">
      <c r="A51" s="178"/>
      <c r="B51" s="179"/>
      <c r="C51" s="179"/>
      <c r="D51" s="179"/>
      <c r="E51" s="179"/>
      <c r="F51" s="179"/>
      <c r="G51" s="179"/>
      <c r="H51" s="179"/>
      <c r="I51" s="179"/>
      <c r="J51" s="180"/>
      <c r="K51" s="180"/>
      <c r="L51" s="180"/>
      <c r="M51" s="180"/>
      <c r="N51" s="179"/>
      <c r="O51" s="179"/>
      <c r="P51" s="179"/>
      <c r="Q51" s="180"/>
      <c r="R51" s="181"/>
    </row>
    <row r="52" spans="1:12" ht="12.75">
      <c r="A52" s="100"/>
      <c r="G52" s="104" t="s">
        <v>42</v>
      </c>
      <c r="H52" s="105"/>
      <c r="I52" s="105"/>
      <c r="J52" s="105"/>
      <c r="K52" s="105"/>
      <c r="L52" s="106"/>
    </row>
    <row r="53" spans="7:12" ht="12.75">
      <c r="G53" s="104" t="s">
        <v>52</v>
      </c>
      <c r="H53" s="105"/>
      <c r="I53" s="105"/>
      <c r="J53" s="105"/>
      <c r="K53" s="105"/>
      <c r="L53" s="106"/>
    </row>
    <row r="54" spans="7:12" ht="12.75">
      <c r="G54" s="104"/>
      <c r="H54" s="105"/>
      <c r="I54" s="105"/>
      <c r="J54" s="105"/>
      <c r="K54" s="105"/>
      <c r="L54" s="106"/>
    </row>
    <row r="55" spans="7:12" ht="12.75">
      <c r="G55" s="107"/>
      <c r="H55" s="107" t="s">
        <v>44</v>
      </c>
      <c r="I55" s="108">
        <v>8729.5</v>
      </c>
      <c r="J55" s="109"/>
      <c r="K55" s="105"/>
      <c r="L55" s="106"/>
    </row>
    <row r="56" spans="7:12" ht="12.75">
      <c r="G56" s="107"/>
      <c r="H56" s="107" t="s">
        <v>45</v>
      </c>
      <c r="I56" s="108">
        <v>8306.375</v>
      </c>
      <c r="J56" s="109"/>
      <c r="K56" s="105"/>
      <c r="L56" s="106"/>
    </row>
    <row r="57" spans="7:12" ht="12.75">
      <c r="G57" s="107"/>
      <c r="H57" s="107" t="s">
        <v>46</v>
      </c>
      <c r="I57" s="108">
        <v>1285.875</v>
      </c>
      <c r="J57" s="109"/>
      <c r="K57" s="105"/>
      <c r="L57" s="106"/>
    </row>
    <row r="58" spans="7:12" ht="12.75">
      <c r="G58" s="107"/>
      <c r="H58" s="107"/>
      <c r="I58" s="108">
        <f>SUM(I55:I57)</f>
        <v>18321.75</v>
      </c>
      <c r="J58" s="109"/>
      <c r="K58" s="105"/>
      <c r="L58" s="106"/>
    </row>
    <row r="59" spans="7:12" ht="23.25" customHeight="1">
      <c r="G59" s="207" t="s">
        <v>47</v>
      </c>
      <c r="H59" s="207"/>
      <c r="I59" s="108">
        <f>14+9+27+14+13+60+8+29+1</f>
        <v>175</v>
      </c>
      <c r="J59" s="109"/>
      <c r="K59" s="105"/>
      <c r="L59" s="106"/>
    </row>
    <row r="60" spans="7:12" ht="23.25" customHeight="1">
      <c r="G60" s="207" t="s">
        <v>48</v>
      </c>
      <c r="H60" s="207"/>
      <c r="I60" s="108">
        <v>21</v>
      </c>
      <c r="J60" s="109"/>
      <c r="K60" s="105"/>
      <c r="L60" s="106"/>
    </row>
    <row r="61" spans="7:12" ht="39">
      <c r="G61" s="107"/>
      <c r="H61" s="110" t="s">
        <v>49</v>
      </c>
      <c r="I61" s="108">
        <f>115+51+174.625+46+15.875-31.25-35</f>
        <v>336.25</v>
      </c>
      <c r="J61" s="109"/>
      <c r="K61" s="105"/>
      <c r="L61" s="106"/>
    </row>
    <row r="62" spans="7:12" ht="12.75">
      <c r="G62" s="107"/>
      <c r="H62" s="107"/>
      <c r="I62" s="108">
        <f>(I58-I59-I60-I61)</f>
        <v>17789.5</v>
      </c>
      <c r="J62" s="111"/>
      <c r="K62" s="112"/>
      <c r="L62" s="113"/>
    </row>
  </sheetData>
  <sheetProtection/>
  <mergeCells count="8">
    <mergeCell ref="K2:P2"/>
    <mergeCell ref="G59:H59"/>
    <mergeCell ref="G60:H60"/>
    <mergeCell ref="K3:O3"/>
    <mergeCell ref="A49:R49"/>
    <mergeCell ref="A50:R50"/>
    <mergeCell ref="A46:R46"/>
    <mergeCell ref="A43:R43"/>
  </mergeCells>
  <printOptions horizontalCentered="1" verticalCentered="1"/>
  <pageMargins left="0.08" right="0.45" top="0.51" bottom="0.25" header="0.5" footer="0.25"/>
  <pageSetup orientation="landscape" scale="79"/>
  <rowBreaks count="1" manualBreakCount="1">
    <brk id="39" max="17" man="1"/>
  </rowBreaks>
</worksheet>
</file>

<file path=xl/worksheets/sheet4.xml><?xml version="1.0" encoding="utf-8"?>
<worksheet xmlns="http://schemas.openxmlformats.org/spreadsheetml/2006/main" xmlns:r="http://schemas.openxmlformats.org/officeDocument/2006/relationships">
  <sheetPr>
    <tabColor indexed="57"/>
  </sheetPr>
  <dimension ref="A1:R61"/>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F60" sqref="F60"/>
    </sheetView>
  </sheetViews>
  <sheetFormatPr defaultColWidth="11.50390625" defaultRowHeight="12"/>
  <cols>
    <col min="1" max="1" width="28.50390625" style="3" customWidth="1"/>
    <col min="2" max="2" width="1.625" style="3" customWidth="1"/>
    <col min="3" max="3" width="3.625" style="3" customWidth="1"/>
    <col min="4" max="4" width="8.50390625" style="3" customWidth="1"/>
    <col min="5" max="5" width="8.875" style="3" customWidth="1"/>
    <col min="6" max="6" width="9.625" style="3" customWidth="1"/>
    <col min="7" max="7" width="8.125" style="3" customWidth="1"/>
    <col min="8" max="8" width="9.50390625" style="3" customWidth="1"/>
    <col min="9" max="9" width="10.875" style="3" customWidth="1"/>
    <col min="10" max="10" width="10.125" style="7" customWidth="1"/>
    <col min="11" max="11" width="9.375" style="7" customWidth="1"/>
    <col min="12" max="12" width="9.125" style="7" customWidth="1"/>
    <col min="13" max="13" width="8.50390625" style="7" customWidth="1"/>
    <col min="14" max="14" width="8.50390625" style="3" customWidth="1"/>
    <col min="15" max="15" width="11.50390625" style="3" customWidth="1"/>
    <col min="16" max="16" width="10.625" style="3" customWidth="1"/>
    <col min="17" max="18" width="10.125" style="7" customWidth="1"/>
    <col min="19" max="16384" width="11.50390625" style="3" customWidth="1"/>
  </cols>
  <sheetData>
    <row r="1" spans="1:8" ht="25.5" thickBot="1">
      <c r="A1" s="1"/>
      <c r="B1" s="2"/>
      <c r="D1" s="4"/>
      <c r="E1" s="5"/>
      <c r="H1" s="6" t="s">
        <v>61</v>
      </c>
    </row>
    <row r="2" spans="1:18" ht="12.75">
      <c r="A2" s="1" t="s">
        <v>51</v>
      </c>
      <c r="B2" s="2"/>
      <c r="C2" s="8"/>
      <c r="D2" s="9"/>
      <c r="E2" s="10"/>
      <c r="F2" s="11"/>
      <c r="G2" s="10"/>
      <c r="H2" s="10"/>
      <c r="I2" s="10"/>
      <c r="J2" s="12"/>
      <c r="K2" s="216" t="s">
        <v>62</v>
      </c>
      <c r="L2" s="205"/>
      <c r="M2" s="205"/>
      <c r="N2" s="205"/>
      <c r="O2" s="205"/>
      <c r="P2" s="206"/>
      <c r="Q2" s="13"/>
      <c r="R2" s="14"/>
    </row>
    <row r="3" spans="1:18" ht="12.75">
      <c r="A3" s="1"/>
      <c r="B3" s="2"/>
      <c r="C3" s="15"/>
      <c r="D3" s="16" t="s">
        <v>63</v>
      </c>
      <c r="E3" s="17"/>
      <c r="F3" s="18"/>
      <c r="G3" s="17"/>
      <c r="H3" s="17"/>
      <c r="I3" s="16" t="s">
        <v>64</v>
      </c>
      <c r="J3" s="19" t="s">
        <v>65</v>
      </c>
      <c r="K3" s="217" t="s">
        <v>66</v>
      </c>
      <c r="L3" s="210"/>
      <c r="M3" s="210"/>
      <c r="N3" s="210"/>
      <c r="O3" s="210"/>
      <c r="P3" s="20"/>
      <c r="Q3" s="21"/>
      <c r="R3" s="22"/>
    </row>
    <row r="4" spans="1:18" s="31" customFormat="1" ht="12.75">
      <c r="A4" s="23"/>
      <c r="B4" s="24"/>
      <c r="C4" s="25"/>
      <c r="D4" s="26" t="s">
        <v>67</v>
      </c>
      <c r="E4" s="26" t="s">
        <v>68</v>
      </c>
      <c r="F4" s="27" t="s">
        <v>69</v>
      </c>
      <c r="G4" s="16" t="s">
        <v>70</v>
      </c>
      <c r="H4" s="16" t="s">
        <v>70</v>
      </c>
      <c r="I4" s="16" t="s">
        <v>71</v>
      </c>
      <c r="J4" s="28" t="s">
        <v>72</v>
      </c>
      <c r="K4" s="29" t="s">
        <v>73</v>
      </c>
      <c r="L4" s="16" t="s">
        <v>73</v>
      </c>
      <c r="M4" s="16" t="s">
        <v>73</v>
      </c>
      <c r="N4" s="16" t="s">
        <v>73</v>
      </c>
      <c r="O4" s="28" t="s">
        <v>74</v>
      </c>
      <c r="P4" s="28" t="s">
        <v>75</v>
      </c>
      <c r="Q4" s="29" t="s">
        <v>76</v>
      </c>
      <c r="R4" s="30" t="s">
        <v>77</v>
      </c>
    </row>
    <row r="5" spans="1:18" s="31" customFormat="1" ht="13.5" thickBot="1">
      <c r="A5" s="32" t="s">
        <v>78</v>
      </c>
      <c r="B5" s="33"/>
      <c r="C5" s="34" t="s">
        <v>79</v>
      </c>
      <c r="D5" s="35" t="s">
        <v>80</v>
      </c>
      <c r="E5" s="35" t="s">
        <v>81</v>
      </c>
      <c r="F5" s="36" t="s">
        <v>82</v>
      </c>
      <c r="G5" s="37" t="s">
        <v>72</v>
      </c>
      <c r="H5" s="37" t="s">
        <v>83</v>
      </c>
      <c r="I5" s="37" t="s">
        <v>84</v>
      </c>
      <c r="J5" s="38" t="s">
        <v>85</v>
      </c>
      <c r="K5" s="39" t="s">
        <v>86</v>
      </c>
      <c r="L5" s="37" t="s">
        <v>87</v>
      </c>
      <c r="M5" s="37" t="s">
        <v>88</v>
      </c>
      <c r="N5" s="37" t="s">
        <v>89</v>
      </c>
      <c r="O5" s="38" t="s">
        <v>90</v>
      </c>
      <c r="P5" s="38" t="s">
        <v>90</v>
      </c>
      <c r="Q5" s="39" t="s">
        <v>91</v>
      </c>
      <c r="R5" s="40" t="s">
        <v>92</v>
      </c>
    </row>
    <row r="6" spans="1:18" ht="12.75">
      <c r="A6" s="41"/>
      <c r="B6" s="42"/>
      <c r="C6" s="43"/>
      <c r="D6" s="43"/>
      <c r="E6" s="43"/>
      <c r="F6" s="43"/>
      <c r="G6" s="43"/>
      <c r="H6" s="43"/>
      <c r="I6" s="43"/>
      <c r="J6" s="44"/>
      <c r="K6" s="44"/>
      <c r="L6" s="44"/>
      <c r="M6" s="44"/>
      <c r="N6" s="43"/>
      <c r="O6" s="43"/>
      <c r="P6" s="43"/>
      <c r="Q6" s="44"/>
      <c r="R6" s="45"/>
    </row>
    <row r="7" spans="1:18" ht="12.75">
      <c r="A7" s="46" t="s">
        <v>93</v>
      </c>
      <c r="B7" s="47"/>
      <c r="C7" s="43"/>
      <c r="D7" s="44" t="s">
        <v>94</v>
      </c>
      <c r="E7" s="44" t="s">
        <v>95</v>
      </c>
      <c r="F7" s="44" t="s">
        <v>95</v>
      </c>
      <c r="G7" s="44" t="s">
        <v>96</v>
      </c>
      <c r="H7" s="44" t="s">
        <v>97</v>
      </c>
      <c r="I7" s="44" t="s">
        <v>97</v>
      </c>
      <c r="J7" s="44" t="s">
        <v>95</v>
      </c>
      <c r="K7" s="44" t="s">
        <v>97</v>
      </c>
      <c r="L7" s="44" t="s">
        <v>95</v>
      </c>
      <c r="M7" s="44" t="s">
        <v>94</v>
      </c>
      <c r="N7" s="44" t="s">
        <v>94</v>
      </c>
      <c r="O7" s="44" t="s">
        <v>97</v>
      </c>
      <c r="P7" s="44" t="s">
        <v>97</v>
      </c>
      <c r="Q7" s="44" t="s">
        <v>97</v>
      </c>
      <c r="R7" s="45" t="s">
        <v>97</v>
      </c>
    </row>
    <row r="8" spans="1:18" ht="12.75" customHeight="1">
      <c r="A8" s="46"/>
      <c r="B8" s="47"/>
      <c r="C8" s="43"/>
      <c r="D8" s="43"/>
      <c r="E8" s="43"/>
      <c r="F8" s="43"/>
      <c r="G8" s="43"/>
      <c r="H8" s="43"/>
      <c r="I8" s="43"/>
      <c r="J8" s="44"/>
      <c r="K8" s="44"/>
      <c r="L8" s="44"/>
      <c r="M8" s="44"/>
      <c r="N8" s="43"/>
      <c r="O8" s="43"/>
      <c r="P8" s="43"/>
      <c r="Q8" s="44"/>
      <c r="R8" s="45"/>
    </row>
    <row r="9" spans="1:18" ht="12.75" customHeight="1">
      <c r="A9" s="48" t="s">
        <v>98</v>
      </c>
      <c r="B9" s="49"/>
      <c r="C9" s="44" t="s">
        <v>99</v>
      </c>
      <c r="D9" s="44">
        <v>11</v>
      </c>
      <c r="E9" s="44"/>
      <c r="F9" s="44"/>
      <c r="G9" s="44">
        <f>8+10+1</f>
        <v>19</v>
      </c>
      <c r="H9" s="50">
        <f>(G9/6)</f>
        <v>3.1666666666666665</v>
      </c>
      <c r="I9" s="51">
        <f>SUM(D9:F9)+H9</f>
        <v>14.166666666666666</v>
      </c>
      <c r="J9" s="52">
        <f>798+871+103+16+14-10</f>
        <v>1792</v>
      </c>
      <c r="K9" s="44">
        <f>SUM(L9:N9)</f>
        <v>434</v>
      </c>
      <c r="L9" s="44">
        <f>34+11+9+9</f>
        <v>63</v>
      </c>
      <c r="M9" s="44">
        <f>77+6+13+3+8</f>
        <v>107</v>
      </c>
      <c r="N9" s="44">
        <f>178+14+41+5+16+2+4+4</f>
        <v>264</v>
      </c>
      <c r="O9" s="53">
        <f>N9/I9</f>
        <v>18.63529411764706</v>
      </c>
      <c r="P9" s="53">
        <f>K9/I9</f>
        <v>30.63529411764706</v>
      </c>
      <c r="Q9" s="53">
        <f>(J9/8.5)/I9</f>
        <v>14.88166089965398</v>
      </c>
      <c r="R9" s="54">
        <f>J9/((I9*0.95)*6)</f>
        <v>22.191950464396285</v>
      </c>
    </row>
    <row r="10" spans="1:18" ht="12.75">
      <c r="A10" s="48" t="s">
        <v>100</v>
      </c>
      <c r="B10" s="49"/>
      <c r="C10" s="44" t="s">
        <v>99</v>
      </c>
      <c r="D10" s="44">
        <v>5</v>
      </c>
      <c r="E10" s="44">
        <v>1</v>
      </c>
      <c r="F10" s="44"/>
      <c r="G10" s="44">
        <v>1</v>
      </c>
      <c r="H10" s="50">
        <f>(G10/6)</f>
        <v>0.16666666666666666</v>
      </c>
      <c r="I10" s="51">
        <f>SUM(D10:F10)+H10</f>
        <v>6.166666666666667</v>
      </c>
      <c r="J10" s="52">
        <f>370+277+72+16+15</f>
        <v>750</v>
      </c>
      <c r="K10" s="44">
        <f>SUM(L10:N10)</f>
        <v>65</v>
      </c>
      <c r="L10" s="44">
        <f>7+1</f>
        <v>8</v>
      </c>
      <c r="M10" s="44">
        <f>8+3</f>
        <v>11</v>
      </c>
      <c r="N10" s="44">
        <f>29+17</f>
        <v>46</v>
      </c>
      <c r="O10" s="53">
        <f>N10/I10</f>
        <v>7.459459459459459</v>
      </c>
      <c r="P10" s="53">
        <f>K10/I10</f>
        <v>10.54054054054054</v>
      </c>
      <c r="Q10" s="53">
        <f>(J10/8.5)/I10</f>
        <v>14.308426073131955</v>
      </c>
      <c r="R10" s="54">
        <f>J10/((I10*0.95)*6)</f>
        <v>21.337126600284495</v>
      </c>
    </row>
    <row r="11" spans="1:18" ht="12.75">
      <c r="A11" s="48"/>
      <c r="B11" s="49"/>
      <c r="C11" s="44"/>
      <c r="D11" s="44"/>
      <c r="E11" s="44"/>
      <c r="F11" s="44"/>
      <c r="G11" s="44"/>
      <c r="H11" s="50"/>
      <c r="I11" s="51"/>
      <c r="J11" s="52"/>
      <c r="K11" s="44"/>
      <c r="L11" s="44"/>
      <c r="M11" s="44"/>
      <c r="N11" s="44"/>
      <c r="O11" s="53"/>
      <c r="P11" s="53"/>
      <c r="Q11" s="53"/>
      <c r="R11" s="54"/>
    </row>
    <row r="12" spans="1:18" ht="12.75" customHeight="1">
      <c r="A12" s="48" t="s">
        <v>101</v>
      </c>
      <c r="B12" s="49"/>
      <c r="C12" s="44" t="s">
        <v>102</v>
      </c>
      <c r="D12" s="44">
        <v>9.5</v>
      </c>
      <c r="E12" s="51">
        <v>1.67</v>
      </c>
      <c r="F12" s="44"/>
      <c r="G12" s="44">
        <f>1+1+1</f>
        <v>3</v>
      </c>
      <c r="H12" s="50">
        <f>(G12/6)</f>
        <v>0.5</v>
      </c>
      <c r="I12" s="51">
        <f>SUM(D12:F12)+H12</f>
        <v>11.67</v>
      </c>
      <c r="J12" s="52">
        <f>471+536+94+11+16+16+14</f>
        <v>1158</v>
      </c>
      <c r="K12" s="44">
        <f>SUM(L12:N12)</f>
        <v>143</v>
      </c>
      <c r="L12" s="44">
        <f>19+4+1</f>
        <v>24</v>
      </c>
      <c r="M12" s="44">
        <f>10+20+3+2</f>
        <v>35</v>
      </c>
      <c r="N12" s="44">
        <f>35+36+11+2</f>
        <v>84</v>
      </c>
      <c r="O12" s="53">
        <f>N12/I12</f>
        <v>7.197943444730077</v>
      </c>
      <c r="P12" s="53">
        <f>K12/I12</f>
        <v>12.253641816623821</v>
      </c>
      <c r="Q12" s="53">
        <f>(J12/8.5)/I12</f>
        <v>11.673975502797521</v>
      </c>
      <c r="R12" s="54">
        <f>J12/((I12*0.95)*6)</f>
        <v>17.408559960312093</v>
      </c>
    </row>
    <row r="13" spans="1:18" ht="12.75" customHeight="1">
      <c r="A13" s="48" t="s">
        <v>103</v>
      </c>
      <c r="B13" s="49"/>
      <c r="C13" s="44" t="s">
        <v>102</v>
      </c>
      <c r="D13" s="44">
        <v>6</v>
      </c>
      <c r="E13" s="44"/>
      <c r="F13" s="44"/>
      <c r="G13" s="44">
        <f>6+4</f>
        <v>10</v>
      </c>
      <c r="H13" s="50">
        <f>(G13/6)</f>
        <v>1.6666666666666667</v>
      </c>
      <c r="I13" s="51">
        <f>SUM(D13:F13)+H13</f>
        <v>7.666666666666667</v>
      </c>
      <c r="J13" s="52">
        <f>366+318+30+15+15</f>
        <v>744</v>
      </c>
      <c r="K13" s="44">
        <f>SUM(L13:N13)</f>
        <v>57</v>
      </c>
      <c r="L13" s="44">
        <f>4+5</f>
        <v>9</v>
      </c>
      <c r="M13" s="44">
        <f>9+5</f>
        <v>14</v>
      </c>
      <c r="N13" s="44">
        <f>13+21</f>
        <v>34</v>
      </c>
      <c r="O13" s="53">
        <f>N13/I13</f>
        <v>4.434782608695652</v>
      </c>
      <c r="P13" s="53">
        <f>K13/I13</f>
        <v>7.434782608695652</v>
      </c>
      <c r="Q13" s="53">
        <f>(J13/8.5)/I13</f>
        <v>11.416879795396419</v>
      </c>
      <c r="R13" s="54">
        <f>J13/((I13*0.95)*6)</f>
        <v>17.02517162471396</v>
      </c>
    </row>
    <row r="14" spans="1:18" ht="12.75">
      <c r="A14" s="48" t="s">
        <v>104</v>
      </c>
      <c r="B14" s="49"/>
      <c r="C14" s="44" t="s">
        <v>102</v>
      </c>
      <c r="D14" s="44">
        <v>8</v>
      </c>
      <c r="E14" s="44"/>
      <c r="F14" s="44"/>
      <c r="G14" s="44">
        <f>4+5+1</f>
        <v>10</v>
      </c>
      <c r="H14" s="50">
        <f>(G14/6)</f>
        <v>1.6666666666666667</v>
      </c>
      <c r="I14" s="51">
        <f>SUM(D14:F14)+H14</f>
        <v>9.666666666666666</v>
      </c>
      <c r="J14" s="52">
        <f>319+288+69+16+10+15+17+19+15+24+24+27+13</f>
        <v>856</v>
      </c>
      <c r="K14" s="44">
        <f>SUM(L14:N14)</f>
        <v>17</v>
      </c>
      <c r="L14" s="44">
        <f>3</f>
        <v>3</v>
      </c>
      <c r="M14" s="44">
        <f>1+1</f>
        <v>2</v>
      </c>
      <c r="N14" s="44">
        <f>5+1+4+2</f>
        <v>12</v>
      </c>
      <c r="O14" s="53">
        <f>N14/I14</f>
        <v>1.2413793103448276</v>
      </c>
      <c r="P14" s="53">
        <f>K14/I14</f>
        <v>1.7586206896551726</v>
      </c>
      <c r="Q14" s="53">
        <f>(J14/8.5)/I14</f>
        <v>10.417849898580123</v>
      </c>
      <c r="R14" s="54">
        <f>J14/((I14*0.95)*6)</f>
        <v>15.535390199637025</v>
      </c>
    </row>
    <row r="15" spans="1:18" ht="12.75">
      <c r="A15" s="48" t="s">
        <v>105</v>
      </c>
      <c r="B15" s="49"/>
      <c r="C15" s="44" t="s">
        <v>102</v>
      </c>
      <c r="D15" s="44">
        <v>2</v>
      </c>
      <c r="E15" s="44">
        <v>2</v>
      </c>
      <c r="F15" s="44"/>
      <c r="G15" s="44">
        <f>1+1+2</f>
        <v>4</v>
      </c>
      <c r="H15" s="50">
        <f>(G15/6)</f>
        <v>0.6666666666666666</v>
      </c>
      <c r="I15" s="51">
        <f>SUM(D15:F15)+H15</f>
        <v>4.666666666666667</v>
      </c>
      <c r="J15" s="52">
        <f>248+266+60</f>
        <v>574</v>
      </c>
      <c r="K15" s="44">
        <f>SUM(L15:N15)</f>
        <v>28</v>
      </c>
      <c r="L15" s="44">
        <v>1</v>
      </c>
      <c r="M15" s="44">
        <v>3</v>
      </c>
      <c r="N15" s="44">
        <f>12+12</f>
        <v>24</v>
      </c>
      <c r="O15" s="53">
        <f>N15/I15</f>
        <v>5.142857142857142</v>
      </c>
      <c r="P15" s="53">
        <f>K15/I15</f>
        <v>6</v>
      </c>
      <c r="Q15" s="53">
        <f>(J15/8.5)/I15</f>
        <v>14.470588235294118</v>
      </c>
      <c r="R15" s="54">
        <f>J15/((I15*0.95)*6)</f>
        <v>21.57894736842105</v>
      </c>
    </row>
    <row r="16" spans="1:18" ht="12.75">
      <c r="A16" s="48" t="s">
        <v>106</v>
      </c>
      <c r="B16" s="49"/>
      <c r="C16" s="44" t="s">
        <v>102</v>
      </c>
      <c r="D16" s="44">
        <v>4</v>
      </c>
      <c r="E16" s="44">
        <v>1</v>
      </c>
      <c r="F16" s="44"/>
      <c r="G16" s="44">
        <v>0</v>
      </c>
      <c r="H16" s="50">
        <f>(G16/6)</f>
        <v>0</v>
      </c>
      <c r="I16" s="51">
        <f>SUM(D16:F16)+H16</f>
        <v>5</v>
      </c>
      <c r="J16" s="52">
        <f>235+211+29+11+15+15+26</f>
        <v>542</v>
      </c>
      <c r="K16" s="44">
        <f>SUM(L16:N16)</f>
        <v>18</v>
      </c>
      <c r="L16" s="44">
        <v>3</v>
      </c>
      <c r="M16" s="44">
        <f>1+1</f>
        <v>2</v>
      </c>
      <c r="N16" s="44">
        <f>5+8</f>
        <v>13</v>
      </c>
      <c r="O16" s="53">
        <f>N16/I16</f>
        <v>2.6</v>
      </c>
      <c r="P16" s="53">
        <f>K16/I16</f>
        <v>3.6</v>
      </c>
      <c r="Q16" s="53">
        <f>(J16/8.5)/I16</f>
        <v>12.75294117647059</v>
      </c>
      <c r="R16" s="54">
        <f>J16/((I16*0.95)*6)</f>
        <v>19.017543859649123</v>
      </c>
    </row>
    <row r="17" spans="1:18" ht="12.75">
      <c r="A17" s="48"/>
      <c r="B17" s="49"/>
      <c r="C17" s="44"/>
      <c r="D17" s="44"/>
      <c r="E17" s="44"/>
      <c r="F17" s="44"/>
      <c r="G17" s="44"/>
      <c r="H17" s="50"/>
      <c r="I17" s="51"/>
      <c r="J17" s="52"/>
      <c r="K17" s="44"/>
      <c r="L17" s="44"/>
      <c r="M17" s="44"/>
      <c r="N17" s="44"/>
      <c r="O17" s="53"/>
      <c r="P17" s="53"/>
      <c r="Q17" s="53"/>
      <c r="R17" s="54"/>
    </row>
    <row r="18" spans="1:18" ht="12.75">
      <c r="A18" s="48" t="s">
        <v>107</v>
      </c>
      <c r="B18" s="49"/>
      <c r="C18" s="44" t="s">
        <v>108</v>
      </c>
      <c r="D18" s="44">
        <v>7.5</v>
      </c>
      <c r="E18" s="44">
        <v>1</v>
      </c>
      <c r="F18" s="44">
        <v>1</v>
      </c>
      <c r="G18" s="44">
        <v>0</v>
      </c>
      <c r="H18" s="50">
        <f>(G18/6)</f>
        <v>0</v>
      </c>
      <c r="I18" s="51">
        <f>SUM(D18:F18)+H18</f>
        <v>9.5</v>
      </c>
      <c r="J18" s="52">
        <f>412.5+397+30+15+12+2+15+3</f>
        <v>886.5</v>
      </c>
      <c r="K18" s="44">
        <f>SUM(L18:N18)</f>
        <v>236</v>
      </c>
      <c r="L18" s="44">
        <f>95</f>
        <v>95</v>
      </c>
      <c r="M18" s="44">
        <f>18+1</f>
        <v>19</v>
      </c>
      <c r="N18" s="44">
        <f>118+4</f>
        <v>122</v>
      </c>
      <c r="O18" s="53">
        <f>N18/I18</f>
        <v>12.842105263157896</v>
      </c>
      <c r="P18" s="53">
        <f>K18/I18</f>
        <v>24.842105263157894</v>
      </c>
      <c r="Q18" s="53">
        <f>(J18/8.5)/I18</f>
        <v>10.978328173374614</v>
      </c>
      <c r="R18" s="54">
        <f>J18/((I18*0.95)*6)</f>
        <v>16.37119113573407</v>
      </c>
    </row>
    <row r="19" spans="1:18" ht="12.75">
      <c r="A19" s="48" t="s">
        <v>109</v>
      </c>
      <c r="B19" s="49"/>
      <c r="C19" s="44" t="s">
        <v>108</v>
      </c>
      <c r="D19" s="44">
        <v>5</v>
      </c>
      <c r="E19" s="44"/>
      <c r="F19" s="44">
        <v>1</v>
      </c>
      <c r="G19" s="44">
        <f>7.5+6</f>
        <v>13.5</v>
      </c>
      <c r="H19" s="50">
        <f>(G19/6)</f>
        <v>2.25</v>
      </c>
      <c r="I19" s="51">
        <f>SUM(D19:F19)+H19</f>
        <v>8.25</v>
      </c>
      <c r="J19" s="52">
        <f>310+281.5+24+11+10</f>
        <v>636.5</v>
      </c>
      <c r="K19" s="44">
        <f>SUM(L19:N19)</f>
        <v>64</v>
      </c>
      <c r="L19" s="44">
        <f>22+1</f>
        <v>23</v>
      </c>
      <c r="M19" s="44">
        <f>8</f>
        <v>8</v>
      </c>
      <c r="N19" s="44">
        <f>29+4</f>
        <v>33</v>
      </c>
      <c r="O19" s="53">
        <f>N19/I19</f>
        <v>4</v>
      </c>
      <c r="P19" s="53">
        <f>K19/I19</f>
        <v>7.757575757575758</v>
      </c>
      <c r="Q19" s="53">
        <f>(J19/8.5)/I19</f>
        <v>9.076648841354723</v>
      </c>
      <c r="R19" s="54">
        <f>J19/((I19*0.95)*6)</f>
        <v>13.535353535353536</v>
      </c>
    </row>
    <row r="20" spans="1:18" ht="12.75">
      <c r="A20" s="48" t="s">
        <v>110</v>
      </c>
      <c r="B20" s="49"/>
      <c r="C20" s="44" t="s">
        <v>108</v>
      </c>
      <c r="D20" s="44">
        <v>11</v>
      </c>
      <c r="E20" s="44"/>
      <c r="F20" s="44"/>
      <c r="G20" s="44">
        <f>3</f>
        <v>3</v>
      </c>
      <c r="H20" s="50">
        <f>(G20/6)</f>
        <v>0.5</v>
      </c>
      <c r="I20" s="51">
        <f>SUM(D20:F20)+H20</f>
        <v>11.5</v>
      </c>
      <c r="J20" s="52">
        <f>207+388+221+341+16+8</f>
        <v>1181</v>
      </c>
      <c r="K20" s="44">
        <f>SUM(L20:N20)</f>
        <v>127</v>
      </c>
      <c r="L20" s="44">
        <f>14+10+2</f>
        <v>26</v>
      </c>
      <c r="M20" s="44">
        <f>12+9+1</f>
        <v>22</v>
      </c>
      <c r="N20" s="44">
        <f>25+36+7+11</f>
        <v>79</v>
      </c>
      <c r="O20" s="53">
        <f>N20/I20</f>
        <v>6.869565217391305</v>
      </c>
      <c r="P20" s="53">
        <f>K20/I20</f>
        <v>11.043478260869565</v>
      </c>
      <c r="Q20" s="53">
        <f>(J20/8.5)/I20</f>
        <v>12.081841432225064</v>
      </c>
      <c r="R20" s="54">
        <f>J20/((I20*0.95)*6)</f>
        <v>18.01678108314264</v>
      </c>
    </row>
    <row r="21" spans="1:18" ht="12.75">
      <c r="A21" s="48" t="s">
        <v>111</v>
      </c>
      <c r="B21" s="49"/>
      <c r="C21" s="44" t="s">
        <v>108</v>
      </c>
      <c r="D21" s="44">
        <v>4</v>
      </c>
      <c r="E21" s="44">
        <v>1</v>
      </c>
      <c r="F21" s="44"/>
      <c r="G21" s="44">
        <f>1</f>
        <v>1</v>
      </c>
      <c r="H21" s="50">
        <f>(G21/6)</f>
        <v>0.16666666666666666</v>
      </c>
      <c r="I21" s="51">
        <f>SUM(D21:F21)+H21</f>
        <v>5.166666666666667</v>
      </c>
      <c r="J21" s="52">
        <f>179+154+76+16+12</f>
        <v>437</v>
      </c>
      <c r="K21" s="44">
        <f>SUM(L21:N21)</f>
        <v>37</v>
      </c>
      <c r="L21" s="44">
        <f>12</f>
        <v>12</v>
      </c>
      <c r="M21" s="44">
        <f>4+1</f>
        <v>5</v>
      </c>
      <c r="N21" s="44">
        <f>18+2</f>
        <v>20</v>
      </c>
      <c r="O21" s="53">
        <f>N21/I21</f>
        <v>3.8709677419354835</v>
      </c>
      <c r="P21" s="53">
        <f>K21/I21</f>
        <v>7.161290322580645</v>
      </c>
      <c r="Q21" s="53">
        <f>(J21/8.5)/I21</f>
        <v>9.950664136622391</v>
      </c>
      <c r="R21" s="54">
        <f>J21/((I21*0.95)*6)</f>
        <v>14.838709677419356</v>
      </c>
    </row>
    <row r="22" spans="1:18" ht="12.75">
      <c r="A22" s="48" t="s">
        <v>112</v>
      </c>
      <c r="B22" s="49"/>
      <c r="C22" s="44" t="s">
        <v>108</v>
      </c>
      <c r="D22" s="44">
        <v>5</v>
      </c>
      <c r="E22" s="44">
        <v>4</v>
      </c>
      <c r="F22" s="44"/>
      <c r="G22" s="44">
        <f>1+1</f>
        <v>2</v>
      </c>
      <c r="H22" s="50">
        <f>(G22/6)</f>
        <v>0.3333333333333333</v>
      </c>
      <c r="I22" s="51">
        <f>SUM(D22:F22)+H22</f>
        <v>9.333333333333334</v>
      </c>
      <c r="J22" s="52">
        <f>619.5+613+50.5+11+15</f>
        <v>1309</v>
      </c>
      <c r="K22" s="44">
        <f>SUM(L22:N22)</f>
        <v>175</v>
      </c>
      <c r="L22" s="44">
        <f>27+1</f>
        <v>28</v>
      </c>
      <c r="M22" s="44">
        <f>42</f>
        <v>42</v>
      </c>
      <c r="N22" s="44">
        <f>104+1</f>
        <v>105</v>
      </c>
      <c r="O22" s="53">
        <f>N22/I22</f>
        <v>11.25</v>
      </c>
      <c r="P22" s="53">
        <f>K22/I22</f>
        <v>18.75</v>
      </c>
      <c r="Q22" s="53">
        <f>(J22/8.5)/I22</f>
        <v>16.5</v>
      </c>
      <c r="R22" s="54">
        <f>J22/((I22*0.95)*6)</f>
        <v>24.605263157894736</v>
      </c>
    </row>
    <row r="23" spans="1:18" ht="12.75">
      <c r="A23" s="48"/>
      <c r="B23" s="49"/>
      <c r="C23" s="44"/>
      <c r="D23" s="44"/>
      <c r="E23" s="44"/>
      <c r="F23" s="44"/>
      <c r="G23" s="44"/>
      <c r="H23" s="50"/>
      <c r="I23" s="51"/>
      <c r="J23" s="52"/>
      <c r="K23" s="44"/>
      <c r="L23" s="44"/>
      <c r="M23" s="44"/>
      <c r="N23" s="44"/>
      <c r="O23" s="53"/>
      <c r="P23" s="53"/>
      <c r="Q23" s="53"/>
      <c r="R23" s="54"/>
    </row>
    <row r="24" spans="1:18" ht="12.75">
      <c r="A24" s="48" t="s">
        <v>113</v>
      </c>
      <c r="B24" s="49"/>
      <c r="C24" s="44" t="s">
        <v>114</v>
      </c>
      <c r="D24" s="44">
        <v>4</v>
      </c>
      <c r="E24" s="44"/>
      <c r="F24" s="44">
        <v>1</v>
      </c>
      <c r="G24" s="44">
        <f>6.08+8.33+2</f>
        <v>16.41</v>
      </c>
      <c r="H24" s="50">
        <f>(G24/6)</f>
        <v>2.735</v>
      </c>
      <c r="I24" s="51">
        <f>SUM(D24:F24)+H24</f>
        <v>7.734999999999999</v>
      </c>
      <c r="J24" s="52">
        <f>255+242+43+15+11+16+26+1+2+1</f>
        <v>612</v>
      </c>
      <c r="K24" s="44">
        <f>SUM(L24:N24)</f>
        <v>79</v>
      </c>
      <c r="L24" s="44">
        <f>13</f>
        <v>13</v>
      </c>
      <c r="M24" s="44">
        <f>14+4</f>
        <v>18</v>
      </c>
      <c r="N24" s="44">
        <f>46+2</f>
        <v>48</v>
      </c>
      <c r="O24" s="53">
        <f>N24/I24</f>
        <v>6.2055591467356175</v>
      </c>
      <c r="P24" s="53">
        <f>K24/I24</f>
        <v>10.213316095669038</v>
      </c>
      <c r="Q24" s="53">
        <f>(J24/8.5)/I24</f>
        <v>9.308338720103427</v>
      </c>
      <c r="R24" s="54">
        <f>J24/((I24*0.95)*6)</f>
        <v>13.880855986119146</v>
      </c>
    </row>
    <row r="25" spans="1:18" ht="12.75">
      <c r="A25" s="48" t="s">
        <v>115</v>
      </c>
      <c r="B25" s="49"/>
      <c r="C25" s="44" t="s">
        <v>114</v>
      </c>
      <c r="D25" s="44">
        <v>6</v>
      </c>
      <c r="E25" s="44">
        <v>2.5</v>
      </c>
      <c r="F25" s="44"/>
      <c r="G25" s="44">
        <f>2</f>
        <v>2</v>
      </c>
      <c r="H25" s="50">
        <f>(G25/6)</f>
        <v>0.3333333333333333</v>
      </c>
      <c r="I25" s="51">
        <f>SUM(D25:F25)+H25</f>
        <v>8.833333333333334</v>
      </c>
      <c r="J25" s="52">
        <f>468+512+74+2+16+15+13+14</f>
        <v>1114</v>
      </c>
      <c r="K25" s="44">
        <f>SUM(L25:N25)</f>
        <v>111</v>
      </c>
      <c r="L25" s="44">
        <f>15+2</f>
        <v>17</v>
      </c>
      <c r="M25" s="44">
        <f>16+7</f>
        <v>23</v>
      </c>
      <c r="N25" s="44">
        <f>54+17</f>
        <v>71</v>
      </c>
      <c r="O25" s="53">
        <f>N25/I25</f>
        <v>8.037735849056602</v>
      </c>
      <c r="P25" s="53">
        <f>K25/I25</f>
        <v>12.566037735849056</v>
      </c>
      <c r="Q25" s="53">
        <f>(J25/8.5)/I25</f>
        <v>14.83684794672586</v>
      </c>
      <c r="R25" s="54">
        <f>J25/((I25*0.95)*6)</f>
        <v>22.12512413108242</v>
      </c>
    </row>
    <row r="26" spans="1:18" ht="12.75">
      <c r="A26" s="48" t="s">
        <v>116</v>
      </c>
      <c r="B26" s="49"/>
      <c r="C26" s="44" t="s">
        <v>114</v>
      </c>
      <c r="D26" s="44">
        <v>6.5</v>
      </c>
      <c r="E26" s="44">
        <v>0.5</v>
      </c>
      <c r="F26" s="44"/>
      <c r="G26" s="44">
        <f>1</f>
        <v>1</v>
      </c>
      <c r="H26" s="50">
        <f>(G26/6)</f>
        <v>0.16666666666666666</v>
      </c>
      <c r="I26" s="51">
        <f>SUM(D26:F26)+H26</f>
        <v>7.166666666666667</v>
      </c>
      <c r="J26" s="52">
        <f>295+359+55+26+22+6+1+15+16+15+15+5+2+14</f>
        <v>846</v>
      </c>
      <c r="K26" s="44">
        <f>SUM(L26:N26)</f>
        <v>97</v>
      </c>
      <c r="L26" s="44">
        <f>15+1</f>
        <v>16</v>
      </c>
      <c r="M26" s="44">
        <f>14+3</f>
        <v>17</v>
      </c>
      <c r="N26" s="44">
        <f>45+19</f>
        <v>64</v>
      </c>
      <c r="O26" s="53">
        <f>N26/I26</f>
        <v>8.930232558139535</v>
      </c>
      <c r="P26" s="53">
        <f>K26/I26</f>
        <v>13.534883720930232</v>
      </c>
      <c r="Q26" s="53">
        <f>(J26/8.5)/I26</f>
        <v>13.88782489740082</v>
      </c>
      <c r="R26" s="54">
        <f>J26/((I26*0.95)*6)</f>
        <v>20.709914320685435</v>
      </c>
    </row>
    <row r="27" spans="1:18" ht="12.75">
      <c r="A27" s="48" t="s">
        <v>117</v>
      </c>
      <c r="B27" s="49"/>
      <c r="C27" s="44" t="s">
        <v>114</v>
      </c>
      <c r="D27" s="44">
        <v>6.5</v>
      </c>
      <c r="E27" s="44"/>
      <c r="F27" s="44"/>
      <c r="G27" s="44">
        <f>3+1+2</f>
        <v>6</v>
      </c>
      <c r="H27" s="50">
        <f>(G27/6)</f>
        <v>1</v>
      </c>
      <c r="I27" s="51">
        <f>SUM(D27:F27)+H27</f>
        <v>7.5</v>
      </c>
      <c r="J27" s="52">
        <f>370+338+104+14+15+6+20+26-15</f>
        <v>878</v>
      </c>
      <c r="K27" s="44">
        <f>SUM(L27:N27)</f>
        <v>59</v>
      </c>
      <c r="L27" s="44">
        <f>1+1</f>
        <v>2</v>
      </c>
      <c r="M27" s="44">
        <f>2+5+1+5</f>
        <v>13</v>
      </c>
      <c r="N27" s="44">
        <f>5+22+3+14</f>
        <v>44</v>
      </c>
      <c r="O27" s="53">
        <f>N27/I27</f>
        <v>5.866666666666666</v>
      </c>
      <c r="P27" s="53">
        <f>K27/I27</f>
        <v>7.866666666666666</v>
      </c>
      <c r="Q27" s="53">
        <f>(J27/8.5)/I27</f>
        <v>13.772549019607844</v>
      </c>
      <c r="R27" s="54">
        <f>J27/((I27*0.95)*6)</f>
        <v>20.538011695906434</v>
      </c>
    </row>
    <row r="28" spans="1:18" ht="12.75">
      <c r="A28" s="55"/>
      <c r="B28" s="56"/>
      <c r="C28" s="43"/>
      <c r="D28" s="44"/>
      <c r="E28" s="44"/>
      <c r="F28" s="44"/>
      <c r="G28" s="44"/>
      <c r="H28" s="50"/>
      <c r="I28" s="51"/>
      <c r="J28" s="52"/>
      <c r="K28" s="57"/>
      <c r="L28" s="57"/>
      <c r="M28" s="57"/>
      <c r="N28" s="57"/>
      <c r="O28" s="53"/>
      <c r="P28" s="53"/>
      <c r="Q28" s="53"/>
      <c r="R28" s="54"/>
    </row>
    <row r="29" spans="1:18" ht="13.5" thickBot="1">
      <c r="A29" s="58" t="s">
        <v>118</v>
      </c>
      <c r="B29" s="59"/>
      <c r="C29" s="60"/>
      <c r="D29" s="61">
        <f>SUM(D9:D27)</f>
        <v>101</v>
      </c>
      <c r="E29" s="61">
        <f>SUM(E9:E27)</f>
        <v>14.67</v>
      </c>
      <c r="F29" s="61">
        <f>SUM(F9:F27)</f>
        <v>3</v>
      </c>
      <c r="G29" s="61"/>
      <c r="H29" s="62">
        <f>SUM(H9:H27)</f>
        <v>15.318333333333333</v>
      </c>
      <c r="I29" s="63">
        <f>SUM(D29:H29)</f>
        <v>133.98833333333334</v>
      </c>
      <c r="J29" s="64">
        <f>SUM(J9:J27)</f>
        <v>14316</v>
      </c>
      <c r="K29" s="65">
        <f>SUM(K9:K27)</f>
        <v>1747</v>
      </c>
      <c r="L29" s="66">
        <f>SUM(L9:L27)</f>
        <v>343</v>
      </c>
      <c r="M29" s="66">
        <f>SUM(M9:M27)</f>
        <v>341</v>
      </c>
      <c r="N29" s="65">
        <f>SUM(N9:N27)</f>
        <v>1063</v>
      </c>
      <c r="O29" s="67">
        <f>N29/I29</f>
        <v>7.9335265508191</v>
      </c>
      <c r="P29" s="67">
        <f>K29/I29</f>
        <v>13.038448621148607</v>
      </c>
      <c r="Q29" s="67">
        <f>(J29/8.5)/I29</f>
        <v>12.570014509603922</v>
      </c>
      <c r="R29" s="68">
        <f>J29/((I29*0.95)*6)</f>
        <v>18.74475847923392</v>
      </c>
    </row>
    <row r="30" spans="1:18" ht="13.5" thickBot="1">
      <c r="A30" s="69"/>
      <c r="B30" s="70"/>
      <c r="D30" s="7"/>
      <c r="E30" s="7"/>
      <c r="F30" s="7"/>
      <c r="G30" s="7"/>
      <c r="H30" s="71"/>
      <c r="I30" s="72"/>
      <c r="J30" s="24"/>
      <c r="K30" s="73"/>
      <c r="L30" s="73"/>
      <c r="M30" s="73"/>
      <c r="N30" s="73"/>
      <c r="O30" s="74"/>
      <c r="P30" s="74"/>
      <c r="Q30" s="74"/>
      <c r="R30" s="74"/>
    </row>
    <row r="31" spans="1:18" ht="12.75">
      <c r="A31" s="75" t="s">
        <v>119</v>
      </c>
      <c r="B31" s="76"/>
      <c r="C31" s="76"/>
      <c r="D31" s="77"/>
      <c r="E31" s="77"/>
      <c r="F31" s="77"/>
      <c r="G31" s="77"/>
      <c r="H31" s="78"/>
      <c r="I31" s="77"/>
      <c r="J31" s="78"/>
      <c r="K31" s="79"/>
      <c r="L31" s="79"/>
      <c r="M31" s="79"/>
      <c r="N31" s="79"/>
      <c r="O31" s="80"/>
      <c r="P31" s="80"/>
      <c r="Q31" s="80"/>
      <c r="R31" s="81"/>
    </row>
    <row r="32" spans="1:18" ht="12.75">
      <c r="A32" s="82"/>
      <c r="B32" s="43"/>
      <c r="C32" s="43"/>
      <c r="D32" s="44"/>
      <c r="E32" s="44"/>
      <c r="F32" s="44"/>
      <c r="G32" s="44"/>
      <c r="H32" s="33"/>
      <c r="I32" s="44"/>
      <c r="J32" s="33"/>
      <c r="K32" s="57"/>
      <c r="L32" s="57"/>
      <c r="M32" s="57"/>
      <c r="N32" s="57"/>
      <c r="O32" s="53"/>
      <c r="P32" s="53"/>
      <c r="Q32" s="53"/>
      <c r="R32" s="54"/>
    </row>
    <row r="33" spans="1:18" ht="12.75">
      <c r="A33" s="83" t="s">
        <v>120</v>
      </c>
      <c r="B33" s="43"/>
      <c r="C33" s="43"/>
      <c r="D33" s="44">
        <v>4</v>
      </c>
      <c r="E33" s="44"/>
      <c r="F33" s="44"/>
      <c r="G33" s="44">
        <f>5+6+1</f>
        <v>12</v>
      </c>
      <c r="H33" s="50">
        <f>(G33/6)</f>
        <v>2</v>
      </c>
      <c r="I33" s="51">
        <f>SUM(D33:F33)+H33</f>
        <v>6</v>
      </c>
      <c r="J33" s="84">
        <f>204+220+16</f>
        <v>440</v>
      </c>
      <c r="K33" s="44">
        <f>SUM(L33:N33)</f>
        <v>57</v>
      </c>
      <c r="L33" s="44">
        <f>14</f>
        <v>14</v>
      </c>
      <c r="M33" s="57">
        <f>10+3</f>
        <v>13</v>
      </c>
      <c r="N33" s="57">
        <f>28+2</f>
        <v>30</v>
      </c>
      <c r="O33" s="53">
        <f>N33/I33</f>
        <v>5</v>
      </c>
      <c r="P33" s="53">
        <f>K33/I33</f>
        <v>9.5</v>
      </c>
      <c r="Q33" s="53">
        <f>(J33/8.5)/I33</f>
        <v>8.627450980392156</v>
      </c>
      <c r="R33" s="54">
        <f>J33/((I33*0.95)*6)</f>
        <v>12.865497076023393</v>
      </c>
    </row>
    <row r="34" spans="1:18" ht="12.75">
      <c r="A34" s="83" t="s">
        <v>121</v>
      </c>
      <c r="B34" s="43"/>
      <c r="C34" s="43"/>
      <c r="D34" s="44">
        <v>16.17</v>
      </c>
      <c r="E34" s="44">
        <v>2</v>
      </c>
      <c r="F34" s="44"/>
      <c r="G34" s="44">
        <f>13.17+12.33+57</f>
        <v>82.5</v>
      </c>
      <c r="H34" s="50">
        <f>(G34/6)</f>
        <v>13.75</v>
      </c>
      <c r="I34" s="51">
        <f>SUM(D34:F34)+H34</f>
        <v>31.92</v>
      </c>
      <c r="J34" s="85">
        <f>640.25+656.25+157+16+16+23</f>
        <v>1508.5</v>
      </c>
      <c r="K34" s="44">
        <f>SUM(L34:N34)</f>
        <v>185</v>
      </c>
      <c r="L34" s="44">
        <f>4+16+11+4+4+12+4+1</f>
        <v>56</v>
      </c>
      <c r="M34" s="57">
        <f>1+5+8+5+1+6</f>
        <v>26</v>
      </c>
      <c r="N34" s="57">
        <f>5+38+18+11+3+19+8+1</f>
        <v>103</v>
      </c>
      <c r="O34" s="53">
        <f>N34/I34</f>
        <v>3.226817042606516</v>
      </c>
      <c r="P34" s="53">
        <f>K34/I34</f>
        <v>5.795739348370927</v>
      </c>
      <c r="Q34" s="53">
        <f>(J34/8.5)/I34</f>
        <v>5.55985552115583</v>
      </c>
      <c r="R34" s="54">
        <f>J34/((I34*0.95)*6)</f>
        <v>8.291012619267466</v>
      </c>
    </row>
    <row r="35" spans="1:18" ht="12.75">
      <c r="A35" s="83" t="s">
        <v>122</v>
      </c>
      <c r="B35" s="43"/>
      <c r="C35" s="43"/>
      <c r="D35" s="44">
        <v>7</v>
      </c>
      <c r="E35" s="44">
        <v>2</v>
      </c>
      <c r="F35" s="44">
        <v>1</v>
      </c>
      <c r="G35" s="44">
        <f>3+5+2</f>
        <v>10</v>
      </c>
      <c r="H35" s="50">
        <f>(G35/6)</f>
        <v>1.6666666666666667</v>
      </c>
      <c r="I35" s="51">
        <f>SUM(D35:F35)+H35</f>
        <v>11.666666666666666</v>
      </c>
      <c r="J35" s="84">
        <f>156+159+18+21+20+23+23+24+15+14+16+32+30+1+28+24+24+21+26</f>
        <v>675</v>
      </c>
      <c r="K35" s="44">
        <f>SUM(L35:N35)</f>
        <v>87</v>
      </c>
      <c r="L35" s="44">
        <f>25</f>
        <v>25</v>
      </c>
      <c r="M35" s="57">
        <f>15</f>
        <v>15</v>
      </c>
      <c r="N35" s="57">
        <f>47</f>
        <v>47</v>
      </c>
      <c r="O35" s="53">
        <f>N35/I35</f>
        <v>4.0285714285714285</v>
      </c>
      <c r="P35" s="53">
        <f>K35/I35</f>
        <v>7.457142857142857</v>
      </c>
      <c r="Q35" s="53">
        <f>(J35/8.5)/I35</f>
        <v>6.80672268907563</v>
      </c>
      <c r="R35" s="54">
        <f>J35/((I35*0.95)*6)</f>
        <v>10.150375939849624</v>
      </c>
    </row>
    <row r="36" spans="1:18" ht="25.5">
      <c r="A36" s="86" t="s">
        <v>123</v>
      </c>
      <c r="B36" s="43"/>
      <c r="C36" s="43"/>
      <c r="D36" s="44">
        <v>7.5</v>
      </c>
      <c r="E36" s="44"/>
      <c r="F36" s="44">
        <f>1</f>
        <v>1</v>
      </c>
      <c r="G36" s="44">
        <f>7.75+3.25+3+7</f>
        <v>21</v>
      </c>
      <c r="H36" s="50">
        <f>(G36/6)</f>
        <v>3.5</v>
      </c>
      <c r="I36" s="51">
        <f>SUM(D36:F36)+H36</f>
        <v>12</v>
      </c>
      <c r="J36" s="84">
        <f>55.5+259+40+263+141+((13+11+32+33+23+21+9+5+1+48+52+29+19+8+5+5+2+5+1)*0.25)</f>
        <v>839</v>
      </c>
      <c r="K36" s="44">
        <f>SUM(L36:N36)</f>
        <v>116</v>
      </c>
      <c r="L36" s="44">
        <f>7+8+2+13+1</f>
        <v>31</v>
      </c>
      <c r="M36" s="57">
        <f>7+21+2</f>
        <v>30</v>
      </c>
      <c r="N36" s="57">
        <f>17+30+1+7</f>
        <v>55</v>
      </c>
      <c r="O36" s="53">
        <f>N36/I36</f>
        <v>4.583333333333333</v>
      </c>
      <c r="P36" s="53">
        <f>K36/I36</f>
        <v>9.666666666666666</v>
      </c>
      <c r="Q36" s="53">
        <f>(J36/8.5)/I36</f>
        <v>8.22549019607843</v>
      </c>
      <c r="R36" s="54">
        <f>J36/((I36*0.95)*6)</f>
        <v>12.266081871345031</v>
      </c>
    </row>
    <row r="37" spans="1:18" ht="12.75">
      <c r="A37" s="82"/>
      <c r="B37" s="43"/>
      <c r="C37" s="43"/>
      <c r="D37" s="44"/>
      <c r="E37" s="44"/>
      <c r="F37" s="44"/>
      <c r="G37" s="44"/>
      <c r="H37" s="50"/>
      <c r="I37" s="51"/>
      <c r="J37" s="87"/>
      <c r="K37" s="57"/>
      <c r="L37" s="57"/>
      <c r="M37" s="57"/>
      <c r="N37" s="57"/>
      <c r="O37" s="53"/>
      <c r="P37" s="53"/>
      <c r="Q37" s="53"/>
      <c r="R37" s="54"/>
    </row>
    <row r="38" spans="1:18" ht="13.5" thickBot="1">
      <c r="A38" s="88" t="s">
        <v>124</v>
      </c>
      <c r="B38" s="60"/>
      <c r="C38" s="60"/>
      <c r="D38" s="89">
        <f>SUM(D33:D36)</f>
        <v>34.67</v>
      </c>
      <c r="E38" s="89">
        <f>SUM(E33:E36)</f>
        <v>4</v>
      </c>
      <c r="F38" s="89">
        <f>SUM(F33:F36)</f>
        <v>2</v>
      </c>
      <c r="G38" s="89"/>
      <c r="H38" s="90">
        <f>SUM(H33:H36)</f>
        <v>20.916666666666668</v>
      </c>
      <c r="I38" s="63">
        <f>SUM(D38:H38)</f>
        <v>61.58666666666667</v>
      </c>
      <c r="J38" s="91">
        <f>SUM(J33:J36)</f>
        <v>3462.5</v>
      </c>
      <c r="K38" s="92">
        <f>SUM(K33:K36)</f>
        <v>445</v>
      </c>
      <c r="L38" s="92">
        <f>SUM(L33:L36)</f>
        <v>126</v>
      </c>
      <c r="M38" s="92">
        <f>SUM(M33:M36)</f>
        <v>84</v>
      </c>
      <c r="N38" s="92">
        <f>SUM(N33:N36)</f>
        <v>235</v>
      </c>
      <c r="O38" s="67">
        <f>N38/I38</f>
        <v>3.815760987226672</v>
      </c>
      <c r="P38" s="67">
        <f>K38/I38</f>
        <v>7.225589954535613</v>
      </c>
      <c r="Q38" s="67">
        <f>(J38/8.5)/I38</f>
        <v>6.614304089247736</v>
      </c>
      <c r="R38" s="68">
        <f>J38/((I38*0.95)*6)</f>
        <v>9.863435922562415</v>
      </c>
    </row>
    <row r="39" spans="4:18" ht="13.5" thickBot="1">
      <c r="D39" s="7"/>
      <c r="E39" s="7"/>
      <c r="F39" s="7"/>
      <c r="G39" s="7"/>
      <c r="H39" s="24"/>
      <c r="I39" s="7"/>
      <c r="J39" s="24"/>
      <c r="K39" s="73"/>
      <c r="L39" s="73"/>
      <c r="M39" s="73"/>
      <c r="N39" s="73"/>
      <c r="O39" s="74"/>
      <c r="P39" s="93"/>
      <c r="Q39" s="74"/>
      <c r="R39" s="74"/>
    </row>
    <row r="40" spans="1:18" ht="13.5" thickBot="1">
      <c r="A40" s="94" t="s">
        <v>125</v>
      </c>
      <c r="B40" s="95"/>
      <c r="C40" s="95"/>
      <c r="D40" s="96">
        <f aca="true" t="shared" si="0" ref="D40:N40">D29+D38</f>
        <v>135.67000000000002</v>
      </c>
      <c r="E40" s="96">
        <f t="shared" si="0"/>
        <v>18.67</v>
      </c>
      <c r="F40" s="96">
        <f t="shared" si="0"/>
        <v>5</v>
      </c>
      <c r="G40" s="96"/>
      <c r="H40" s="97">
        <f t="shared" si="0"/>
        <v>36.235</v>
      </c>
      <c r="I40" s="97">
        <f t="shared" si="0"/>
        <v>195.57500000000002</v>
      </c>
      <c r="J40" s="97">
        <f t="shared" si="0"/>
        <v>17778.5</v>
      </c>
      <c r="K40" s="98">
        <f t="shared" si="0"/>
        <v>2192</v>
      </c>
      <c r="L40" s="98">
        <f t="shared" si="0"/>
        <v>469</v>
      </c>
      <c r="M40" s="98">
        <f t="shared" si="0"/>
        <v>425</v>
      </c>
      <c r="N40" s="98">
        <f t="shared" si="0"/>
        <v>1298</v>
      </c>
      <c r="O40" s="93">
        <f>N40/I40</f>
        <v>6.636840086923175</v>
      </c>
      <c r="P40" s="67">
        <f>K40/I40</f>
        <v>11.207976479611402</v>
      </c>
      <c r="Q40" s="93">
        <f>(J40/8.5)/I40</f>
        <v>10.69455827837974</v>
      </c>
      <c r="R40" s="99">
        <f>J40/((I40*0.95)*6)</f>
        <v>15.948025502846978</v>
      </c>
    </row>
    <row r="41" spans="4:16" ht="12.75">
      <c r="D41" s="7"/>
      <c r="E41" s="7"/>
      <c r="F41" s="7"/>
      <c r="G41" s="7"/>
      <c r="H41" s="7"/>
      <c r="I41" s="7"/>
      <c r="N41" s="7"/>
      <c r="O41" s="7"/>
      <c r="P41" s="7"/>
    </row>
    <row r="42" spans="1:16" ht="12.75">
      <c r="A42" s="3" t="s">
        <v>126</v>
      </c>
      <c r="D42" s="7"/>
      <c r="E42" s="7"/>
      <c r="F42" s="7"/>
      <c r="G42" s="7"/>
      <c r="H42" s="7"/>
      <c r="I42" s="7"/>
      <c r="N42" s="7"/>
      <c r="O42" s="7"/>
      <c r="P42" s="7"/>
    </row>
    <row r="43" spans="1:16" ht="12.75">
      <c r="A43" s="3" t="s">
        <v>127</v>
      </c>
      <c r="D43" s="7"/>
      <c r="E43" s="7"/>
      <c r="F43" s="7"/>
      <c r="G43" s="7"/>
      <c r="H43" s="7"/>
      <c r="I43" s="7"/>
      <c r="N43" s="7"/>
      <c r="O43" s="7"/>
      <c r="P43" s="7"/>
    </row>
    <row r="44" spans="1:16" ht="24.75" customHeight="1">
      <c r="A44" s="218" t="s">
        <v>50</v>
      </c>
      <c r="B44" s="218"/>
      <c r="C44" s="218"/>
      <c r="D44" s="218"/>
      <c r="E44" s="218"/>
      <c r="F44" s="218"/>
      <c r="G44" s="218"/>
      <c r="H44" s="218"/>
      <c r="I44" s="218"/>
      <c r="J44" s="218"/>
      <c r="K44" s="218"/>
      <c r="L44" s="218"/>
      <c r="M44" s="218"/>
      <c r="N44" s="218"/>
      <c r="O44" s="218"/>
      <c r="P44" s="100"/>
    </row>
    <row r="45" ht="12.75">
      <c r="A45" s="3" t="s">
        <v>128</v>
      </c>
    </row>
    <row r="46" ht="12.75">
      <c r="A46" s="3" t="s">
        <v>129</v>
      </c>
    </row>
    <row r="47" spans="1:13" ht="13.5" customHeight="1">
      <c r="A47" s="218" t="s">
        <v>130</v>
      </c>
      <c r="B47" s="218"/>
      <c r="C47" s="218"/>
      <c r="D47" s="218"/>
      <c r="E47" s="218"/>
      <c r="F47" s="218"/>
      <c r="G47" s="218"/>
      <c r="H47" s="218"/>
      <c r="I47" s="218"/>
      <c r="J47" s="218"/>
      <c r="K47" s="218"/>
      <c r="L47" s="218"/>
      <c r="M47" s="218"/>
    </row>
    <row r="48" ht="12.75">
      <c r="A48" s="3" t="s">
        <v>131</v>
      </c>
    </row>
    <row r="49" ht="12.75">
      <c r="A49" s="3" t="s">
        <v>41</v>
      </c>
    </row>
    <row r="51" spans="1:9" ht="12.75">
      <c r="A51" s="100"/>
      <c r="D51" s="101" t="s">
        <v>42</v>
      </c>
      <c r="E51" s="102"/>
      <c r="F51" s="102"/>
      <c r="G51" s="102"/>
      <c r="H51" s="102"/>
      <c r="I51" s="103"/>
    </row>
    <row r="52" spans="4:9" ht="12.75">
      <c r="D52" s="104" t="s">
        <v>43</v>
      </c>
      <c r="E52" s="105"/>
      <c r="F52" s="105"/>
      <c r="G52" s="105"/>
      <c r="H52" s="105"/>
      <c r="I52" s="106"/>
    </row>
    <row r="53" spans="4:9" ht="12.75">
      <c r="D53" s="104"/>
      <c r="E53" s="105"/>
      <c r="F53" s="105"/>
      <c r="G53" s="105"/>
      <c r="H53" s="105"/>
      <c r="I53" s="106"/>
    </row>
    <row r="54" spans="4:9" ht="12.75">
      <c r="D54" s="107"/>
      <c r="E54" s="107" t="s">
        <v>44</v>
      </c>
      <c r="F54" s="108">
        <v>8574.25</v>
      </c>
      <c r="G54" s="109"/>
      <c r="H54" s="105"/>
      <c r="I54" s="106"/>
    </row>
    <row r="55" spans="4:9" ht="12.75">
      <c r="D55" s="107"/>
      <c r="E55" s="107" t="s">
        <v>45</v>
      </c>
      <c r="F55" s="108">
        <v>8138.25</v>
      </c>
      <c r="G55" s="109"/>
      <c r="H55" s="105"/>
      <c r="I55" s="106"/>
    </row>
    <row r="56" spans="4:9" ht="12.75">
      <c r="D56" s="107"/>
      <c r="E56" s="107" t="s">
        <v>46</v>
      </c>
      <c r="F56" s="108">
        <v>1434.75</v>
      </c>
      <c r="G56" s="109"/>
      <c r="H56" s="105"/>
      <c r="I56" s="106"/>
    </row>
    <row r="57" spans="4:9" ht="12.75">
      <c r="D57" s="107"/>
      <c r="E57" s="107"/>
      <c r="F57" s="108">
        <f>SUM(F54:F56)</f>
        <v>18147.25</v>
      </c>
      <c r="G57" s="109"/>
      <c r="H57" s="105"/>
      <c r="I57" s="106"/>
    </row>
    <row r="58" spans="4:9" ht="23.25" customHeight="1">
      <c r="D58" s="207" t="s">
        <v>47</v>
      </c>
      <c r="E58" s="207"/>
      <c r="F58" s="108">
        <f>15+14+15+15+10+17</f>
        <v>86</v>
      </c>
      <c r="G58" s="109"/>
      <c r="H58" s="105"/>
      <c r="I58" s="106"/>
    </row>
    <row r="59" spans="4:9" ht="23.25" customHeight="1">
      <c r="D59" s="207" t="s">
        <v>48</v>
      </c>
      <c r="E59" s="207"/>
      <c r="F59" s="108">
        <f>9+12+10</f>
        <v>31</v>
      </c>
      <c r="G59" s="109"/>
      <c r="H59" s="105"/>
      <c r="I59" s="106"/>
    </row>
    <row r="60" spans="4:9" ht="39">
      <c r="D60" s="107"/>
      <c r="E60" s="110" t="s">
        <v>49</v>
      </c>
      <c r="F60" s="108">
        <f>(116.5+50+133.5+45+16.25)-80.5</f>
        <v>280.75</v>
      </c>
      <c r="G60" s="109"/>
      <c r="H60" s="105"/>
      <c r="I60" s="106"/>
    </row>
    <row r="61" spans="4:9" ht="12.75">
      <c r="D61" s="107"/>
      <c r="E61" s="107"/>
      <c r="F61" s="108">
        <f>(F57-F58-F59-F60)</f>
        <v>17749.5</v>
      </c>
      <c r="G61" s="111"/>
      <c r="H61" s="112"/>
      <c r="I61" s="113"/>
    </row>
  </sheetData>
  <sheetProtection/>
  <mergeCells count="6">
    <mergeCell ref="K2:P2"/>
    <mergeCell ref="D58:E58"/>
    <mergeCell ref="D59:E59"/>
    <mergeCell ref="K3:O3"/>
    <mergeCell ref="A44:O44"/>
    <mergeCell ref="A47:M47"/>
  </mergeCells>
  <printOptions horizontalCentered="1" verticalCentered="1"/>
  <pageMargins left="0.42" right="0.51" top="0.51" bottom="0.25" header="0.5" footer="0.25"/>
  <pageSetup orientation="landscape" scale="7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Illinois Wesleyan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Mona J. Gardner</dc:creator>
  <cp:keywords/>
  <dc:description/>
  <cp:lastModifiedBy>Frank Boyd</cp:lastModifiedBy>
  <cp:lastPrinted>2007-12-18T16:05:34Z</cp:lastPrinted>
  <dcterms:created xsi:type="dcterms:W3CDTF">2005-03-17T20:02:53Z</dcterms:created>
  <dcterms:modified xsi:type="dcterms:W3CDTF">2011-11-15T21:38:53Z</dcterms:modified>
  <cp:category/>
  <cp:version/>
  <cp:contentType/>
  <cp:contentStatus/>
</cp:coreProperties>
</file>